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srv-oak\OAKMKT\Jobs\Larrys Jobs\Vaculine 2023\Vac Pricelists 2023\CAFRVAC060122\"/>
    </mc:Choice>
  </mc:AlternateContent>
  <xr:revisionPtr revIDLastSave="0" documentId="8_{B1D6D628-B7AA-45E9-BCFA-4F62F1D27D57}" xr6:coauthVersionLast="47" xr6:coauthVersionMax="47" xr10:uidLastSave="{00000000-0000-0000-0000-000000000000}"/>
  <bookViews>
    <workbookView xWindow="1524" yWindow="444" windowWidth="22392" windowHeight="12528" xr2:uid="{2E870176-7436-4838-89C3-9B26C5F430AA}"/>
  </bookViews>
  <sheets>
    <sheet name="CAFRVAC0601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" i="1" l="1"/>
  <c r="H130" i="1"/>
  <c r="B130" i="1"/>
  <c r="H129" i="1"/>
  <c r="B129" i="1"/>
  <c r="H128" i="1"/>
  <c r="B128" i="1"/>
  <c r="H127" i="1"/>
  <c r="B127" i="1"/>
  <c r="H126" i="1"/>
  <c r="B126" i="1"/>
  <c r="H125" i="1"/>
  <c r="B125" i="1"/>
  <c r="H124" i="1"/>
  <c r="B124" i="1"/>
  <c r="H123" i="1"/>
  <c r="B123" i="1"/>
  <c r="H122" i="1"/>
  <c r="B122" i="1"/>
  <c r="H121" i="1"/>
  <c r="B121" i="1"/>
  <c r="H120" i="1"/>
  <c r="B120" i="1"/>
  <c r="H119" i="1"/>
  <c r="B119" i="1"/>
  <c r="H118" i="1"/>
  <c r="B118" i="1"/>
  <c r="H117" i="1"/>
  <c r="B117" i="1"/>
  <c r="H116" i="1"/>
  <c r="B116" i="1"/>
  <c r="H115" i="1"/>
  <c r="B115" i="1"/>
  <c r="H114" i="1"/>
  <c r="B114" i="1"/>
  <c r="H113" i="1"/>
  <c r="B113" i="1"/>
  <c r="H112" i="1"/>
  <c r="B112" i="1"/>
  <c r="H111" i="1"/>
  <c r="B111" i="1"/>
  <c r="H110" i="1"/>
  <c r="B110" i="1"/>
  <c r="H109" i="1"/>
  <c r="B109" i="1"/>
  <c r="H108" i="1"/>
  <c r="B108" i="1"/>
  <c r="H107" i="1"/>
  <c r="B107" i="1"/>
  <c r="H106" i="1"/>
  <c r="B106" i="1"/>
  <c r="H105" i="1"/>
  <c r="B105" i="1"/>
  <c r="H104" i="1"/>
  <c r="B104" i="1"/>
  <c r="H103" i="1"/>
  <c r="B103" i="1"/>
  <c r="H102" i="1"/>
  <c r="B102" i="1"/>
  <c r="H101" i="1"/>
  <c r="B101" i="1"/>
  <c r="H100" i="1"/>
  <c r="B100" i="1"/>
  <c r="H99" i="1"/>
  <c r="B99" i="1"/>
  <c r="H98" i="1"/>
  <c r="B98" i="1"/>
  <c r="H97" i="1"/>
  <c r="B97" i="1"/>
  <c r="H96" i="1"/>
  <c r="B96" i="1"/>
  <c r="H95" i="1"/>
  <c r="B95" i="1"/>
  <c r="H94" i="1"/>
  <c r="B94" i="1"/>
  <c r="H93" i="1"/>
  <c r="B93" i="1"/>
  <c r="H92" i="1"/>
  <c r="B92" i="1"/>
  <c r="H91" i="1"/>
  <c r="B91" i="1"/>
  <c r="H90" i="1"/>
  <c r="B90" i="1"/>
  <c r="H89" i="1"/>
  <c r="B89" i="1"/>
  <c r="H88" i="1"/>
  <c r="B88" i="1"/>
  <c r="H87" i="1"/>
  <c r="B87" i="1"/>
  <c r="H86" i="1"/>
  <c r="B86" i="1"/>
  <c r="H85" i="1"/>
  <c r="B85" i="1"/>
  <c r="H84" i="1"/>
  <c r="B84" i="1"/>
  <c r="H83" i="1"/>
  <c r="B83" i="1"/>
  <c r="H82" i="1"/>
  <c r="B82" i="1"/>
  <c r="H81" i="1"/>
  <c r="B81" i="1"/>
  <c r="H80" i="1"/>
  <c r="B80" i="1"/>
  <c r="H79" i="1"/>
  <c r="B79" i="1"/>
  <c r="H78" i="1"/>
  <c r="B78" i="1"/>
  <c r="H77" i="1"/>
  <c r="B77" i="1"/>
  <c r="H76" i="1"/>
  <c r="B76" i="1"/>
  <c r="H75" i="1"/>
  <c r="B75" i="1"/>
  <c r="H74" i="1"/>
  <c r="B74" i="1"/>
  <c r="H73" i="1"/>
  <c r="B73" i="1"/>
  <c r="H72" i="1"/>
  <c r="B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6" i="1"/>
  <c r="B56" i="1"/>
  <c r="H55" i="1"/>
  <c r="B55" i="1"/>
  <c r="H54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H47" i="1"/>
  <c r="B47" i="1"/>
  <c r="H46" i="1"/>
  <c r="B46" i="1"/>
  <c r="H45" i="1"/>
  <c r="B45" i="1"/>
  <c r="H44" i="1"/>
  <c r="B44" i="1"/>
  <c r="H43" i="1"/>
  <c r="B43" i="1"/>
  <c r="H42" i="1"/>
  <c r="B42" i="1"/>
  <c r="H41" i="1"/>
  <c r="B41" i="1"/>
  <c r="H40" i="1"/>
  <c r="B40" i="1"/>
  <c r="H39" i="1"/>
  <c r="B39" i="1"/>
  <c r="H38" i="1"/>
  <c r="B38" i="1"/>
  <c r="H37" i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B4" i="1"/>
  <c r="H3" i="1"/>
  <c r="B3" i="1"/>
  <c r="H2" i="1"/>
  <c r="B2" i="1"/>
</calcChain>
</file>

<file path=xl/sharedStrings.xml><?xml version="1.0" encoding="utf-8"?>
<sst xmlns="http://schemas.openxmlformats.org/spreadsheetml/2006/main" count="375" uniqueCount="246">
  <si>
    <t>Nom de Liste de Prix</t>
  </si>
  <si>
    <t>Code UPC</t>
  </si>
  <si>
    <t>Numéro de Pièces</t>
  </si>
  <si>
    <t>Description de Produit</t>
  </si>
  <si>
    <t>Prix Liste</t>
  </si>
  <si>
    <t>Date Effective</t>
  </si>
  <si>
    <t>Poid en kgs</t>
  </si>
  <si>
    <t>Code Bar de Carton</t>
  </si>
  <si>
    <t>Qtée de Carton</t>
  </si>
  <si>
    <t>Qtée de Palette</t>
  </si>
  <si>
    <t>CAFRVAC060122</t>
  </si>
  <si>
    <t>785547 ABS COUVERCLE A GLISSEMENT NOIR VACULINE</t>
  </si>
  <si>
    <t>785506 ABS 90D COUDE COURT 2" NOIR MOYEU VACULINE</t>
  </si>
  <si>
    <t>785508 ABS 90D COUDE A RAYON MOYEN</t>
  </si>
  <si>
    <t>785510 ABS 90D COUDE A RAYON LONG</t>
  </si>
  <si>
    <t>785511 ABS 90D COUDE A RAYON LONG 2" MANCHON VACULINE</t>
  </si>
  <si>
    <t>785517 ABS 45D COUDE</t>
  </si>
  <si>
    <t>785518 ABS 45D COUDE MANCHON X MOYEU</t>
  </si>
  <si>
    <t>785527 ABS ADAPTATEUR A BOUT MALE VACULINE</t>
  </si>
  <si>
    <t>785597 ABS COLLECTEUR AVEC JOINTD'ETANCHEITE VACULINE</t>
  </si>
  <si>
    <t>765501W</t>
  </si>
  <si>
    <t>765501W 90D RACCORD EN T A RAYON LONG BLANC VACULINE</t>
  </si>
  <si>
    <t>765502SW</t>
  </si>
  <si>
    <t>765502SW RACCORD EN T COURT AVEC BOUT FEMELLE COURT BLANC</t>
  </si>
  <si>
    <t>765502W</t>
  </si>
  <si>
    <t>765502W RACCORD EN T COURT BLANC VACULINE</t>
  </si>
  <si>
    <t>765503W</t>
  </si>
  <si>
    <t>765503W 90D COUDE ULTRA COURT BLANC VACULINE</t>
  </si>
  <si>
    <t>765504W</t>
  </si>
  <si>
    <t>765504W 90D COUDE COURT AVEC BOUTFEMELLE COURT BLANC</t>
  </si>
  <si>
    <t>765506W</t>
  </si>
  <si>
    <t>765506W 90D COUDE COURT BLANC VACULINE</t>
  </si>
  <si>
    <t>765507W</t>
  </si>
  <si>
    <t>765507W 90D COUDE COURT BLANC MANCHON VACULINE</t>
  </si>
  <si>
    <t>765508W</t>
  </si>
  <si>
    <t>765508W 90D COUDE A RAYON MOYEN BLANC VACULINE</t>
  </si>
  <si>
    <t>765509W</t>
  </si>
  <si>
    <t>765509W 90D COUDE A RAYON MOYEN BLANC MANCHON VACULINE</t>
  </si>
  <si>
    <t>762032 30D COUDE BLANC MANCHON VACULINE</t>
  </si>
  <si>
    <t>762038 38D COUDE BLANC VACULINE</t>
  </si>
  <si>
    <t>762040 A BRIDE RACCORD A GLISSEMENT BLANC VACULINE</t>
  </si>
  <si>
    <t>762023 INCURVE RACCORD A BRIDE BLANC VACULINE</t>
  </si>
  <si>
    <t>762016 ADAPTATEUR DE TUYAU BLANCVACULINE</t>
  </si>
  <si>
    <t>762015 ADAPTATEUR DE TUYAU 2" x 1 13/16" BLANC VACULINE</t>
  </si>
  <si>
    <t>765510W</t>
  </si>
  <si>
    <t>765510W 90D COUDE A RAYON LONG BLANC VACULINE</t>
  </si>
  <si>
    <t>762027 ADAPTATEUR D'EVACUATION 2" x 1 7/8" BLANC</t>
  </si>
  <si>
    <t>762026 DOUILLE DE REDUCTION DE CLAPET 2" x 1 5/8" BLANC</t>
  </si>
  <si>
    <t>762100 JOINT CARRE NOIR VACULINE</t>
  </si>
  <si>
    <t>762017 BANDE POUR TUYAU BLANC VACULINE</t>
  </si>
  <si>
    <t>765511W</t>
  </si>
  <si>
    <t>765511W 90D COUDE A RAYON LONG 2"BLANC VACULINE</t>
  </si>
  <si>
    <t>765515W</t>
  </si>
  <si>
    <t>765515W 90D COUDE DE 90D A TROIS VOIES BLANC VACULINE</t>
  </si>
  <si>
    <t>765517W</t>
  </si>
  <si>
    <t>765517W 45D COUDE BLANC VACULINE</t>
  </si>
  <si>
    <t>765518W</t>
  </si>
  <si>
    <t>765518W 45D COUDE BLANC MANCHON XMOYEU VACULINE</t>
  </si>
  <si>
    <t>762145 RACCORD EN Y DOUBLE BLANC</t>
  </si>
  <si>
    <t>765519W</t>
  </si>
  <si>
    <t>765519W 30D COUDE BLANC VACULINE</t>
  </si>
  <si>
    <t>762031 COLLIER POUR TUYAU BLANC VACULINE</t>
  </si>
  <si>
    <t>765525W</t>
  </si>
  <si>
    <t>765525W 45D RACCORD EN Y BLANC VACULINE</t>
  </si>
  <si>
    <t>765527W</t>
  </si>
  <si>
    <t>765527W ADAPTATEUR A BOUT MALE BLANC VACULINE</t>
  </si>
  <si>
    <t>765528W</t>
  </si>
  <si>
    <t>765528W RACCORD A GLISSEMENT BLANC VACULINE</t>
  </si>
  <si>
    <t>765529W</t>
  </si>
  <si>
    <t>765529W RACCORD AVEC ARRET BLANC VACULINE</t>
  </si>
  <si>
    <t>765530W</t>
  </si>
  <si>
    <t>765530W ADAPTATEUR 40mm BLANC VACULINE</t>
  </si>
  <si>
    <t>765601W</t>
  </si>
  <si>
    <t>765601W RTR 90D COUDE LONG BLANC VACULINE</t>
  </si>
  <si>
    <t>765602W</t>
  </si>
  <si>
    <t>765602W RTR 45D COUDE LONG BLANC VACULINE</t>
  </si>
  <si>
    <t>765531W</t>
  </si>
  <si>
    <t>765531W ADAPTEUR DWV 1 1/4" BLANCVACULINE</t>
  </si>
  <si>
    <t>765603W</t>
  </si>
  <si>
    <t>765603W RTR 22.5D COUDE LONG BLANC VACULINE</t>
  </si>
  <si>
    <t>765604W</t>
  </si>
  <si>
    <t>765604W RTR PVC ARRET DE TUYAU 2"BLANC MOYEU VACULINE</t>
  </si>
  <si>
    <t>765601CL</t>
  </si>
  <si>
    <t>765601CL RTR PVC 90D COUDE LONG TRANSPARENT VACULINE</t>
  </si>
  <si>
    <t>765532W</t>
  </si>
  <si>
    <t>765532W ADAPTEUR POUR TUYAU FLEXIBLE 1 1/2" BLANC</t>
  </si>
  <si>
    <t>765535W</t>
  </si>
  <si>
    <t>765535W ADAPTATEUR 50mm BLANC VACULINE</t>
  </si>
  <si>
    <t>765537W</t>
  </si>
  <si>
    <t>765537W DOUILLE DE REDUCTION 2" x1 3/4" BLANC VACULINE</t>
  </si>
  <si>
    <t>765540W</t>
  </si>
  <si>
    <t>765540W A LAMES PVC EVENT D'EVACUATION 2" BLANC</t>
  </si>
  <si>
    <t>765541W</t>
  </si>
  <si>
    <t>765541W RALLONGE DE CLAPET D'ASPIRATION BLANC</t>
  </si>
  <si>
    <t>765542W</t>
  </si>
  <si>
    <t>765542W ADAPTATEUR DE SAC BLANC VACULINE</t>
  </si>
  <si>
    <t>765543BLK</t>
  </si>
  <si>
    <t>765543BLK AJUSTEMENT SERRE PPN PROTECTEUR POUR PLAQUES</t>
  </si>
  <si>
    <t>765544W</t>
  </si>
  <si>
    <t>765544W SERRE-CABLE 2" BLANC VACULINE</t>
  </si>
  <si>
    <t>765545W</t>
  </si>
  <si>
    <t>765545W BANDE POUR TUYAU BLANC</t>
  </si>
  <si>
    <t>765546W</t>
  </si>
  <si>
    <t>765546W PROTECTEUR POUR PLAQUES DE MONTAGE POUR PLAQUES</t>
  </si>
  <si>
    <t>765547W</t>
  </si>
  <si>
    <t>765547W COUVERCLE A GLISSEMENT BLANC VACULINE</t>
  </si>
  <si>
    <t>765548W</t>
  </si>
  <si>
    <t>765548W BANDE D'EMBOITEMENT BLANC</t>
  </si>
  <si>
    <t>765550W</t>
  </si>
  <si>
    <t>765550W A BRIDE RACCORD A BOUT FEMELLE AVEC JOINT</t>
  </si>
  <si>
    <t>765553W</t>
  </si>
  <si>
    <t>765553W A BRIDE 90D COUDE LONG AVEC JOINT D'ETANCHEITE</t>
  </si>
  <si>
    <t>765555W</t>
  </si>
  <si>
    <t>765555W A BRIDE RACCORD A BOUT MALE AVEC JOINT</t>
  </si>
  <si>
    <t>765556W</t>
  </si>
  <si>
    <t>765556W A BRIDE 90D COUDE COURT AVEC JOINT D'ETANCHEITE</t>
  </si>
  <si>
    <t>765560N</t>
  </si>
  <si>
    <t>765560N METAL PLAQUE DE MONTAGE</t>
  </si>
  <si>
    <t>765564LW</t>
  </si>
  <si>
    <t>765564LW SE PLAQUE DE MONTAGE POURCOLOMBAGES 3/4" MANCHON</t>
  </si>
  <si>
    <t>765565W</t>
  </si>
  <si>
    <t>765565W METAL PLAQUE DE MONTAGE ABRIDE DE 3/4 PO AVEC</t>
  </si>
  <si>
    <t>765568W</t>
  </si>
  <si>
    <t>765568W BORD BISEAUTE PLASTIQUE PLAQUE DE MONTAGE BLANC</t>
  </si>
  <si>
    <t>765569LW</t>
  </si>
  <si>
    <t>765569LW SE PLAQUE DE MONTAGE BLANC VACULINE</t>
  </si>
  <si>
    <t>765569W</t>
  </si>
  <si>
    <t>765569W SE PLAQUE DE MONTAGE AVECPROTECTEUR 1/4" MANCHON</t>
  </si>
  <si>
    <t>765585A</t>
  </si>
  <si>
    <t>765585A STANDARD PLAQUE DE FINITION AMANDE</t>
  </si>
  <si>
    <t>765585W</t>
  </si>
  <si>
    <t>765585W STANDARD PLAQUE DE FINITION BLANC</t>
  </si>
  <si>
    <t>765597W</t>
  </si>
  <si>
    <t>765597W COLLECTEUR AVEC JOINT D'ETANCHEITE BLANC</t>
  </si>
  <si>
    <t>775851 KIT D'INSTALLATION ELECTRAVALVE VACULINE</t>
  </si>
  <si>
    <t>775850W</t>
  </si>
  <si>
    <t>775850W ELECTRAVALVE BLANC</t>
  </si>
  <si>
    <t>775850A</t>
  </si>
  <si>
    <t>775850A ELECTRAVALVE AMANDE</t>
  </si>
  <si>
    <t>775850BLK</t>
  </si>
  <si>
    <t>775850BLK ELECTRAVALVE NOIR</t>
  </si>
  <si>
    <t>775583W</t>
  </si>
  <si>
    <t>775583W UTILITAIRE 2" PVC CLAPET BLANC VACULINE</t>
  </si>
  <si>
    <t>775851-EBX</t>
  </si>
  <si>
    <t>775851-EBX BOITE-E POUR ELECTRAVALVEII</t>
  </si>
  <si>
    <t>775584-1</t>
  </si>
  <si>
    <t>775584-1 UTILITY VALVE GROMMETT</t>
  </si>
  <si>
    <t>775584BLK</t>
  </si>
  <si>
    <t>775584BLK UTILITAIRE 2" ABS CLAPET AVEC ANNEAU ET BAGUE DE</t>
  </si>
  <si>
    <t>775584W</t>
  </si>
  <si>
    <t>775584W UTILITAIRE PVC CLAPET AVEC ANNEAU ET BAGUE DE</t>
  </si>
  <si>
    <t>775586BLK</t>
  </si>
  <si>
    <t>775586BLK UTILITAIRE ABS CLAPET AVEC FICHE FEMELLE NOIR</t>
  </si>
  <si>
    <t>775586W</t>
  </si>
  <si>
    <t>775586W UTILITAIRE PVC CLAPET AVEC FICHE FEMELLE BLANC</t>
  </si>
  <si>
    <t>775588W</t>
  </si>
  <si>
    <t>775588W SE PLAQUE DE GARNITURE BLANC</t>
  </si>
  <si>
    <t>775589A</t>
  </si>
  <si>
    <t>775589A SOUS-MONTAGE PLAQUE DE GARNITURE AMANDE</t>
  </si>
  <si>
    <t>775589BLK</t>
  </si>
  <si>
    <t>775589BLK SOUS-MONTAGE PLAQUE DE GARNITURE NOIR</t>
  </si>
  <si>
    <t>775589W</t>
  </si>
  <si>
    <t>775589W SOUS-MONTAGE PLAQUE DE GARNITURE BLANC</t>
  </si>
  <si>
    <t>775590A</t>
  </si>
  <si>
    <t>775590A VACUVALVE AMANDE</t>
  </si>
  <si>
    <t>775590BLK</t>
  </si>
  <si>
    <t>775590BLK 2" ABS VACUVALVE NOIR VACULINE</t>
  </si>
  <si>
    <t>775590W</t>
  </si>
  <si>
    <t>775590W VACUVALVE BLANC</t>
  </si>
  <si>
    <t>775591W</t>
  </si>
  <si>
    <t>775591W PORTE A OUVERTURE LATERALE VACUVALVE BLANC</t>
  </si>
  <si>
    <t>775592A</t>
  </si>
  <si>
    <t>775592A SE VACUVALVE AMANDE</t>
  </si>
  <si>
    <t>775592BLK</t>
  </si>
  <si>
    <t>775592BLK SE VACUVALVE NOIR</t>
  </si>
  <si>
    <t>775592W</t>
  </si>
  <si>
    <t>775592W SE VACUVALVE BLANC</t>
  </si>
  <si>
    <t>775591A</t>
  </si>
  <si>
    <t>775591A PORTE A OUVERTURE LATERALE VACUVALVE AMANDE</t>
  </si>
  <si>
    <t>791044W</t>
  </si>
  <si>
    <t>791044W BORD CARRE PLAQUE DE MONTAGE POUR COLOMBAGES</t>
  </si>
  <si>
    <t>794500 COUPE-TUYAU VACULINE</t>
  </si>
  <si>
    <t>794501 5PK LAMES DE COUPE-TUYAU VACULINE</t>
  </si>
  <si>
    <t>791790W</t>
  </si>
  <si>
    <t>791790W PORTE CARREE SUPERVALVE BLANC</t>
  </si>
  <si>
    <t>791790A</t>
  </si>
  <si>
    <t>791790A PORTE CARREE SUPERVALVE AMANDE</t>
  </si>
  <si>
    <t>792090W</t>
  </si>
  <si>
    <t>792090W PORTE PLEINE GRANDEUR SUPERVALVE BLANC</t>
  </si>
  <si>
    <t>792090A</t>
  </si>
  <si>
    <t>792090A PORTE PLEINE GRANDEUR SUPERVALVE AMANDE</t>
  </si>
  <si>
    <t>792095W</t>
  </si>
  <si>
    <t>792095W PORTE A OUVERTURE LATERALE SUPERVALVE BLANC</t>
  </si>
  <si>
    <t>792095A</t>
  </si>
  <si>
    <t>792095A PORTE A OUVERTURE LATERALE SUPERVALVE</t>
  </si>
  <si>
    <t>791041W</t>
  </si>
  <si>
    <t>791041W BORD CARRE PVC PLAQUE DE MONTAGE POUR COLOMBAGES</t>
  </si>
  <si>
    <t>791600A</t>
  </si>
  <si>
    <t>791600A PORTE PLEINE GRANDEUR PVCPLAQUE DE GARNITURE</t>
  </si>
  <si>
    <t>791600W</t>
  </si>
  <si>
    <t>791600W PORTE PLEINE GRANDEUR PVCPLAQUE DE GARNITURE BLANC</t>
  </si>
  <si>
    <t>793030W</t>
  </si>
  <si>
    <t>793030W STANDARD PVC EVENT D'EVACUATION 2" BLANC</t>
  </si>
  <si>
    <t>792000A</t>
  </si>
  <si>
    <t>792000A PORTE PLEINE GRANDEUR PVCCLAPET AMANDE VACULINE</t>
  </si>
  <si>
    <t>792000W</t>
  </si>
  <si>
    <t>792000W PORTE PLEINE GRANDEUR PVCCLAPET BLANC VACULINE</t>
  </si>
  <si>
    <t>791700A</t>
  </si>
  <si>
    <t>791700A PORTE CARREE PVC CLAPET AMANDE VACULINE</t>
  </si>
  <si>
    <t>791700W</t>
  </si>
  <si>
    <t>791700W PORTE CARREE PVC CLAPET BLANC VACULINE</t>
  </si>
  <si>
    <t>792012W</t>
  </si>
  <si>
    <t>792012W PLASTIQUE PROTECTEUR POURPLAQUES DE MONTAGE POUR</t>
  </si>
  <si>
    <t>791500WNL</t>
  </si>
  <si>
    <t>791500WNL PORTE RONDE CLAPET FINITION LISSE BLANC</t>
  </si>
  <si>
    <t>791500ANL</t>
  </si>
  <si>
    <t>791500ANL PORTE RONDE CLAPET FINITION LISSE AMANDE</t>
  </si>
  <si>
    <t>82950010 PVC TUYAU D'ASPIRATEUR CENTRAL BLANC 10'</t>
  </si>
  <si>
    <t>8295008 PVC TUYAU D'ASPIRATEUR CENTRAL BLANC 8' VACULINE</t>
  </si>
  <si>
    <t>829500411 PVC TUYAU D'ASPIRATEUR CENTRAL BLANC 4' 11" 10</t>
  </si>
  <si>
    <t>829500411BX</t>
  </si>
  <si>
    <t>829500411BX PVC TUYAU D'ASPIRATEUR CENTRAL BLANC 4' 11" 2 BN</t>
  </si>
  <si>
    <t>845620W</t>
  </si>
  <si>
    <t>845620W 2" ABS CANSWEEP BLANC VACULINE</t>
  </si>
  <si>
    <t>845620A</t>
  </si>
  <si>
    <t>845620A 2" ABS CANSWEEP AMANDE VACULINE</t>
  </si>
  <si>
    <t>845700-2</t>
  </si>
  <si>
    <t>845700-2 4 PIED TUYAU FLEXIBLE NOIR VACULINE</t>
  </si>
  <si>
    <t>845700-3</t>
  </si>
  <si>
    <t>845700-3 5' TUYAU FLEXIBLE NOIR VACULINE</t>
  </si>
  <si>
    <t>845621W</t>
  </si>
  <si>
    <t>845621W SOUS-MONTAGE ABS PLAQUE DE GARNITURE POUR</t>
  </si>
  <si>
    <t>845621A</t>
  </si>
  <si>
    <t>845621A SOUS-MONTAGE ABS PLAQUE DE GARNITURE POUR</t>
  </si>
  <si>
    <t>845621BLK</t>
  </si>
  <si>
    <t>845621BLK SOUS-MONTAGE ABS PLAQUE DE GARNITURE POUR</t>
  </si>
  <si>
    <t>845625W</t>
  </si>
  <si>
    <t>845625W PROCHAINE GENERATION 2" ABS CANSWEEP BLANC</t>
  </si>
  <si>
    <t>845625A</t>
  </si>
  <si>
    <t>845625A PROCHAINE GENERATION 2" ABS CANSWEEP AMANDE</t>
  </si>
  <si>
    <t>845625BLK</t>
  </si>
  <si>
    <t>845625BLK PROCHAINE GENERATION 2" ABS CANSWEEP NOIR</t>
  </si>
  <si>
    <t>662671761194</t>
  </si>
  <si>
    <t>765500W</t>
  </si>
  <si>
    <t>CARREE PVC SILENCIEUX 2" BLANC MOYEU VACULINE</t>
  </si>
  <si>
    <t>1-Août-24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</si>
</sst>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E9CBD-F26A-4C66-AC69-E4D3E5C91F9C}">
  <dimension ref="A1:J131"/>
  <sheetViews>
    <sheetView tabSelected="1" topLeftCell="A112" workbookViewId="0">
      <selection activeCell="C135" sqref="C135"/>
    </sheetView>
  </sheetViews>
  <sheetFormatPr defaultRowHeight="14.4" x14ac:dyDescent="0.3"/>
  <cols>
    <col min="1" max="1" width="17.88671875" style="1" bestFit="1" customWidth="1"/>
    <col min="2" max="2" width="12.88671875" style="1" bestFit="1" customWidth="1"/>
    <col min="3" max="3" width="15.88671875" style="1" bestFit="1" customWidth="1"/>
    <col min="4" max="4" width="62.88671875" style="1" bestFit="1" customWidth="1"/>
    <col min="5" max="5" width="8.88671875" style="1"/>
    <col min="6" max="6" width="12.21875" style="1" bestFit="1" customWidth="1"/>
    <col min="7" max="7" width="12.33203125" style="1" bestFit="1" customWidth="1"/>
    <col min="8" max="8" width="17.109375" style="1" bestFit="1" customWidth="1"/>
    <col min="9" max="9" width="8.109375" style="1" customWidth="1"/>
    <col min="10" max="10" width="9" style="1" customWidth="1"/>
  </cols>
  <sheetData>
    <row r="1" spans="1:10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</row>
    <row r="2" spans="1:10" x14ac:dyDescent="0.3">
      <c r="A2" s="1" t="s">
        <v>10</v>
      </c>
      <c r="B2" s="1" t="str">
        <f>("662671059048")</f>
        <v>662671059048</v>
      </c>
      <c r="C2" s="1">
        <v>785547</v>
      </c>
      <c r="D2" s="1" t="s">
        <v>11</v>
      </c>
      <c r="E2" s="1">
        <v>7.9</v>
      </c>
      <c r="F2" s="3">
        <v>45322</v>
      </c>
      <c r="G2" s="1">
        <v>1.2999999999999999E-2</v>
      </c>
      <c r="H2" s="1" t="str">
        <f>("10662671059045")</f>
        <v>10662671059045</v>
      </c>
      <c r="I2" s="1">
        <v>250</v>
      </c>
      <c r="J2" s="1">
        <v>18000</v>
      </c>
    </row>
    <row r="3" spans="1:10" x14ac:dyDescent="0.3">
      <c r="A3" s="1" t="s">
        <v>10</v>
      </c>
      <c r="B3" s="1" t="str">
        <f>("662671034939")</f>
        <v>662671034939</v>
      </c>
      <c r="C3" s="1">
        <v>785506</v>
      </c>
      <c r="D3" s="1" t="s">
        <v>12</v>
      </c>
      <c r="E3" s="1">
        <v>9.0399999999999991</v>
      </c>
      <c r="F3" s="3">
        <v>45322</v>
      </c>
      <c r="G3" s="1">
        <v>3.5999999999999997E-2</v>
      </c>
      <c r="H3" s="1" t="str">
        <f>("10662671034936")</f>
        <v>10662671034936</v>
      </c>
      <c r="I3" s="1">
        <v>90</v>
      </c>
      <c r="J3" s="1">
        <v>4320</v>
      </c>
    </row>
    <row r="4" spans="1:10" x14ac:dyDescent="0.3">
      <c r="A4" s="1" t="s">
        <v>10</v>
      </c>
      <c r="B4" s="1" t="str">
        <f>("662671780140")</f>
        <v>662671780140</v>
      </c>
      <c r="C4" s="1">
        <v>785508</v>
      </c>
      <c r="D4" s="1" t="s">
        <v>13</v>
      </c>
      <c r="E4" s="1">
        <v>13.42</v>
      </c>
      <c r="F4" s="3">
        <v>45322</v>
      </c>
      <c r="G4" s="1">
        <v>3.9E-2</v>
      </c>
      <c r="H4" s="1" t="str">
        <f>("10662671780147")</f>
        <v>10662671780147</v>
      </c>
      <c r="I4" s="1">
        <v>80</v>
      </c>
      <c r="J4" s="1">
        <v>3840</v>
      </c>
    </row>
    <row r="5" spans="1:10" x14ac:dyDescent="0.3">
      <c r="A5" s="1" t="s">
        <v>10</v>
      </c>
      <c r="B5" s="1" t="str">
        <f>("662671780065")</f>
        <v>662671780065</v>
      </c>
      <c r="C5" s="1">
        <v>785510</v>
      </c>
      <c r="D5" s="1" t="s">
        <v>14</v>
      </c>
      <c r="E5" s="1">
        <v>11.33</v>
      </c>
      <c r="F5" s="3">
        <v>45322</v>
      </c>
      <c r="G5" s="1">
        <v>6.9000000000000006E-2</v>
      </c>
      <c r="H5" s="1" t="str">
        <f>("10662671780062")</f>
        <v>10662671780062</v>
      </c>
      <c r="I5" s="1">
        <v>75</v>
      </c>
      <c r="J5" s="1">
        <v>2400</v>
      </c>
    </row>
    <row r="6" spans="1:10" x14ac:dyDescent="0.3">
      <c r="A6" s="1" t="s">
        <v>10</v>
      </c>
      <c r="B6" s="1" t="str">
        <f>("662671780157")</f>
        <v>662671780157</v>
      </c>
      <c r="C6" s="1">
        <v>785511</v>
      </c>
      <c r="D6" s="1" t="s">
        <v>15</v>
      </c>
      <c r="E6" s="1">
        <v>17.37</v>
      </c>
      <c r="F6" s="3">
        <v>45322</v>
      </c>
      <c r="G6" s="1">
        <v>7.0000000000000007E-2</v>
      </c>
      <c r="H6" s="1" t="str">
        <f>("10662671780154")</f>
        <v>10662671780154</v>
      </c>
      <c r="I6" s="1">
        <v>50</v>
      </c>
      <c r="J6" s="1">
        <v>2400</v>
      </c>
    </row>
    <row r="7" spans="1:10" x14ac:dyDescent="0.3">
      <c r="A7" s="1" t="s">
        <v>10</v>
      </c>
      <c r="B7" s="1" t="str">
        <f>("662671780072")</f>
        <v>662671780072</v>
      </c>
      <c r="C7" s="1">
        <v>785517</v>
      </c>
      <c r="D7" s="1" t="s">
        <v>16</v>
      </c>
      <c r="E7" s="1">
        <v>8.93</v>
      </c>
      <c r="F7" s="3">
        <v>45322</v>
      </c>
      <c r="G7" s="1">
        <v>2.7E-2</v>
      </c>
      <c r="H7" s="1" t="str">
        <f>("10662671780079")</f>
        <v>10662671780079</v>
      </c>
      <c r="I7" s="1">
        <v>80</v>
      </c>
      <c r="J7" s="1">
        <v>5760</v>
      </c>
    </row>
    <row r="8" spans="1:10" x14ac:dyDescent="0.3">
      <c r="A8" s="1" t="s">
        <v>10</v>
      </c>
      <c r="B8" s="1" t="str">
        <f>("662671780089")</f>
        <v>662671780089</v>
      </c>
      <c r="C8" s="1">
        <v>785518</v>
      </c>
      <c r="D8" s="1" t="s">
        <v>17</v>
      </c>
      <c r="E8" s="1">
        <v>6.78</v>
      </c>
      <c r="F8" s="3">
        <v>45322</v>
      </c>
      <c r="G8" s="1">
        <v>2.1999999999999999E-2</v>
      </c>
      <c r="H8" s="1" t="str">
        <f>("10662671780086")</f>
        <v>10662671780086</v>
      </c>
      <c r="I8" s="1">
        <v>80</v>
      </c>
      <c r="J8" s="1">
        <v>5760</v>
      </c>
    </row>
    <row r="9" spans="1:10" x14ac:dyDescent="0.3">
      <c r="A9" s="1" t="s">
        <v>10</v>
      </c>
      <c r="B9" s="1" t="str">
        <f>("662671780096")</f>
        <v>662671780096</v>
      </c>
      <c r="C9" s="1">
        <v>785527</v>
      </c>
      <c r="D9" s="1" t="s">
        <v>18</v>
      </c>
      <c r="E9" s="1">
        <v>10.63</v>
      </c>
      <c r="F9" s="3">
        <v>45322</v>
      </c>
      <c r="G9" s="1">
        <v>1.6E-2</v>
      </c>
      <c r="H9" s="1" t="str">
        <f>("10662671780093")</f>
        <v>10662671780093</v>
      </c>
      <c r="I9" s="1">
        <v>125</v>
      </c>
      <c r="J9" s="1">
        <v>9000</v>
      </c>
    </row>
    <row r="10" spans="1:10" x14ac:dyDescent="0.3">
      <c r="A10" s="1" t="s">
        <v>10</v>
      </c>
      <c r="B10" s="1" t="str">
        <f>("662671780164")</f>
        <v>662671780164</v>
      </c>
      <c r="C10" s="1">
        <v>785597</v>
      </c>
      <c r="D10" s="1" t="s">
        <v>19</v>
      </c>
      <c r="E10" s="1">
        <v>33.11</v>
      </c>
      <c r="F10" s="3">
        <v>45322</v>
      </c>
      <c r="G10" s="1">
        <v>0.05</v>
      </c>
      <c r="H10" s="1" t="str">
        <f>("10662671780161")</f>
        <v>10662671780161</v>
      </c>
      <c r="I10" s="1">
        <v>100</v>
      </c>
      <c r="J10" s="1">
        <v>3200</v>
      </c>
    </row>
    <row r="11" spans="1:10" x14ac:dyDescent="0.3">
      <c r="A11" s="1" t="s">
        <v>10</v>
      </c>
      <c r="B11" s="1" t="str">
        <f>("662671760081")</f>
        <v>662671760081</v>
      </c>
      <c r="C11" s="1" t="s">
        <v>20</v>
      </c>
      <c r="D11" s="1" t="s">
        <v>21</v>
      </c>
      <c r="E11" s="1">
        <v>6.18</v>
      </c>
      <c r="F11" s="3">
        <v>45322</v>
      </c>
      <c r="G11" s="1">
        <v>0.09</v>
      </c>
      <c r="H11" s="1" t="str">
        <f>("10662671760088")</f>
        <v>10662671760088</v>
      </c>
      <c r="I11" s="1">
        <v>55</v>
      </c>
      <c r="J11" s="1">
        <v>1760</v>
      </c>
    </row>
    <row r="12" spans="1:10" x14ac:dyDescent="0.3">
      <c r="A12" s="1" t="s">
        <v>10</v>
      </c>
      <c r="B12" s="1" t="str">
        <f>("662671762832")</f>
        <v>662671762832</v>
      </c>
      <c r="C12" s="1" t="s">
        <v>22</v>
      </c>
      <c r="D12" s="1" t="s">
        <v>23</v>
      </c>
      <c r="E12" s="1">
        <v>9.5</v>
      </c>
      <c r="F12" s="3">
        <v>45322</v>
      </c>
      <c r="G12" s="1">
        <v>6.5000000000000002E-2</v>
      </c>
      <c r="H12" s="1" t="str">
        <f>("10662671762839")</f>
        <v>10662671762839</v>
      </c>
      <c r="I12" s="1">
        <v>90</v>
      </c>
      <c r="J12" s="1">
        <v>2880</v>
      </c>
    </row>
    <row r="13" spans="1:10" x14ac:dyDescent="0.3">
      <c r="A13" s="1" t="s">
        <v>10</v>
      </c>
      <c r="B13" s="1" t="str">
        <f>("662671760111")</f>
        <v>662671760111</v>
      </c>
      <c r="C13" s="1" t="s">
        <v>24</v>
      </c>
      <c r="D13" s="1" t="s">
        <v>25</v>
      </c>
      <c r="E13" s="1">
        <v>9.48</v>
      </c>
      <c r="F13" s="3">
        <v>45322</v>
      </c>
      <c r="G13" s="1">
        <v>6.7000000000000004E-2</v>
      </c>
      <c r="H13" s="1" t="str">
        <f>("10662671760118")</f>
        <v>10662671760118</v>
      </c>
      <c r="I13" s="1">
        <v>90</v>
      </c>
      <c r="J13" s="1">
        <v>2880</v>
      </c>
    </row>
    <row r="14" spans="1:10" x14ac:dyDescent="0.3">
      <c r="A14" s="1" t="s">
        <v>10</v>
      </c>
      <c r="B14" s="1" t="str">
        <f>("662671762887")</f>
        <v>662671762887</v>
      </c>
      <c r="C14" s="1" t="s">
        <v>26</v>
      </c>
      <c r="D14" s="1" t="s">
        <v>27</v>
      </c>
      <c r="E14" s="1">
        <v>4.71</v>
      </c>
      <c r="F14" s="3">
        <v>45322</v>
      </c>
      <c r="G14" s="1">
        <v>4.8000000000000001E-2</v>
      </c>
      <c r="H14" s="1" t="str">
        <f>("10662671762884")</f>
        <v>10662671762884</v>
      </c>
      <c r="I14" s="1">
        <v>125</v>
      </c>
      <c r="J14" s="1">
        <v>6000</v>
      </c>
    </row>
    <row r="15" spans="1:10" x14ac:dyDescent="0.3">
      <c r="A15" s="1" t="s">
        <v>10</v>
      </c>
      <c r="B15" s="1" t="str">
        <f>("662671762184")</f>
        <v>662671762184</v>
      </c>
      <c r="C15" s="1" t="s">
        <v>28</v>
      </c>
      <c r="D15" s="1" t="s">
        <v>29</v>
      </c>
      <c r="E15" s="1">
        <v>7.58</v>
      </c>
      <c r="F15" s="3">
        <v>45322</v>
      </c>
      <c r="G15" s="1">
        <v>4.1000000000000002E-2</v>
      </c>
      <c r="H15" s="1" t="str">
        <f>("10662671762181")</f>
        <v>10662671762181</v>
      </c>
      <c r="I15" s="1">
        <v>100</v>
      </c>
      <c r="J15" s="1">
        <v>4800</v>
      </c>
    </row>
    <row r="16" spans="1:10" x14ac:dyDescent="0.3">
      <c r="A16" s="1" t="s">
        <v>10</v>
      </c>
      <c r="B16" s="1" t="str">
        <f>("662671760197")</f>
        <v>662671760197</v>
      </c>
      <c r="C16" s="1" t="s">
        <v>30</v>
      </c>
      <c r="D16" s="1" t="s">
        <v>31</v>
      </c>
      <c r="E16" s="1">
        <v>4.46</v>
      </c>
      <c r="F16" s="3">
        <v>45322</v>
      </c>
      <c r="G16" s="1">
        <v>4.8000000000000001E-2</v>
      </c>
      <c r="H16" s="1" t="str">
        <f>("10662671760194")</f>
        <v>10662671760194</v>
      </c>
      <c r="I16" s="1">
        <v>90</v>
      </c>
      <c r="J16" s="1">
        <v>4320</v>
      </c>
    </row>
    <row r="17" spans="1:10" x14ac:dyDescent="0.3">
      <c r="A17" s="1" t="s">
        <v>10</v>
      </c>
      <c r="B17" s="1" t="str">
        <f>("662671762757")</f>
        <v>662671762757</v>
      </c>
      <c r="C17" s="1" t="s">
        <v>32</v>
      </c>
      <c r="D17" s="1" t="s">
        <v>33</v>
      </c>
      <c r="E17" s="1">
        <v>6.52</v>
      </c>
      <c r="F17" s="3">
        <v>45322</v>
      </c>
      <c r="G17" s="1">
        <v>4.3999999999999997E-2</v>
      </c>
      <c r="H17" s="1" t="str">
        <f>("10662671762754")</f>
        <v>10662671762754</v>
      </c>
      <c r="I17" s="1">
        <v>90</v>
      </c>
      <c r="J17" s="1">
        <v>4320</v>
      </c>
    </row>
    <row r="18" spans="1:10" x14ac:dyDescent="0.3">
      <c r="A18" s="1" t="s">
        <v>10</v>
      </c>
      <c r="B18" s="1" t="str">
        <f>("662671760241")</f>
        <v>662671760241</v>
      </c>
      <c r="C18" s="1" t="s">
        <v>34</v>
      </c>
      <c r="D18" s="1" t="s">
        <v>35</v>
      </c>
      <c r="E18" s="1">
        <v>6.69</v>
      </c>
      <c r="F18" s="3">
        <v>45322</v>
      </c>
      <c r="G18" s="1">
        <v>5.8000000000000003E-2</v>
      </c>
      <c r="H18" s="1" t="str">
        <f>("10662671760248")</f>
        <v>10662671760248</v>
      </c>
      <c r="I18" s="1">
        <v>80</v>
      </c>
      <c r="J18" s="1">
        <v>3840</v>
      </c>
    </row>
    <row r="19" spans="1:10" x14ac:dyDescent="0.3">
      <c r="A19" s="1" t="s">
        <v>10</v>
      </c>
      <c r="B19" s="1" t="str">
        <f>("662671760272")</f>
        <v>662671760272</v>
      </c>
      <c r="C19" s="1" t="s">
        <v>36</v>
      </c>
      <c r="D19" s="1" t="s">
        <v>37</v>
      </c>
      <c r="E19" s="1">
        <v>6.51</v>
      </c>
      <c r="F19" s="3">
        <v>45322</v>
      </c>
      <c r="G19" s="1">
        <v>5.2999999999999999E-2</v>
      </c>
      <c r="H19" s="1" t="str">
        <f>("10662671760279")</f>
        <v>10662671760279</v>
      </c>
      <c r="I19" s="1">
        <v>50</v>
      </c>
      <c r="J19" s="1">
        <v>3600</v>
      </c>
    </row>
    <row r="20" spans="1:10" x14ac:dyDescent="0.3">
      <c r="A20" s="1" t="s">
        <v>10</v>
      </c>
      <c r="B20" s="1" t="str">
        <f>("662671069214")</f>
        <v>662671069214</v>
      </c>
      <c r="C20" s="1">
        <v>762032</v>
      </c>
      <c r="D20" s="1" t="s">
        <v>38</v>
      </c>
      <c r="E20" s="1">
        <v>7.61</v>
      </c>
      <c r="F20" s="3">
        <v>45322</v>
      </c>
      <c r="G20" s="1">
        <v>3.2000000000000001E-2</v>
      </c>
      <c r="H20" s="1" t="str">
        <f>("10662671069211")</f>
        <v>10662671069211</v>
      </c>
      <c r="I20" s="1">
        <v>125</v>
      </c>
      <c r="J20" s="1">
        <v>6000</v>
      </c>
    </row>
    <row r="21" spans="1:10" x14ac:dyDescent="0.3">
      <c r="A21" s="1" t="s">
        <v>10</v>
      </c>
      <c r="B21" s="1" t="str">
        <f>("662671069221")</f>
        <v>662671069221</v>
      </c>
      <c r="C21" s="1">
        <v>762038</v>
      </c>
      <c r="D21" s="1" t="s">
        <v>39</v>
      </c>
      <c r="E21" s="1">
        <v>11.06</v>
      </c>
      <c r="F21" s="3">
        <v>45322</v>
      </c>
      <c r="G21" s="1">
        <v>3.6999999999999998E-2</v>
      </c>
      <c r="H21" s="1" t="str">
        <f>("10662671069228")</f>
        <v>10662671069228</v>
      </c>
      <c r="I21" s="1">
        <v>125</v>
      </c>
    </row>
    <row r="22" spans="1:10" x14ac:dyDescent="0.3">
      <c r="A22" s="1" t="s">
        <v>10</v>
      </c>
      <c r="B22" s="1" t="str">
        <f>("662671069238")</f>
        <v>662671069238</v>
      </c>
      <c r="C22" s="1">
        <v>762040</v>
      </c>
      <c r="D22" s="1" t="s">
        <v>40</v>
      </c>
      <c r="E22" s="1">
        <v>6.52</v>
      </c>
      <c r="F22" s="3">
        <v>45322</v>
      </c>
      <c r="G22" s="1">
        <v>1.7999999999999999E-2</v>
      </c>
      <c r="H22" s="1" t="str">
        <f>("10662671069235")</f>
        <v>10662671069235</v>
      </c>
      <c r="I22" s="1">
        <v>50</v>
      </c>
      <c r="J22" s="1">
        <v>9600</v>
      </c>
    </row>
    <row r="23" spans="1:10" x14ac:dyDescent="0.3">
      <c r="A23" s="1" t="s">
        <v>10</v>
      </c>
      <c r="B23" s="1" t="str">
        <f>("662671069245")</f>
        <v>662671069245</v>
      </c>
      <c r="C23" s="1">
        <v>762023</v>
      </c>
      <c r="D23" s="1" t="s">
        <v>41</v>
      </c>
      <c r="E23" s="1">
        <v>6.63</v>
      </c>
      <c r="F23" s="3">
        <v>45322</v>
      </c>
      <c r="G23" s="1">
        <v>0.02</v>
      </c>
      <c r="H23" s="1" t="str">
        <f>("10662671069242")</f>
        <v>10662671069242</v>
      </c>
      <c r="I23" s="1">
        <v>50</v>
      </c>
      <c r="J23" s="1">
        <v>9600</v>
      </c>
    </row>
    <row r="24" spans="1:10" x14ac:dyDescent="0.3">
      <c r="A24" s="1" t="s">
        <v>10</v>
      </c>
      <c r="B24" s="1" t="str">
        <f>("662671069252")</f>
        <v>662671069252</v>
      </c>
      <c r="C24" s="1">
        <v>762016</v>
      </c>
      <c r="D24" s="1" t="s">
        <v>42</v>
      </c>
      <c r="E24" s="1">
        <v>6.63</v>
      </c>
      <c r="F24" s="3">
        <v>45322</v>
      </c>
      <c r="G24" s="1">
        <v>2.9000000000000001E-2</v>
      </c>
      <c r="H24" s="1" t="str">
        <f>("10662671069259")</f>
        <v>10662671069259</v>
      </c>
      <c r="I24" s="1">
        <v>30</v>
      </c>
      <c r="J24" s="1">
        <v>5760</v>
      </c>
    </row>
    <row r="25" spans="1:10" x14ac:dyDescent="0.3">
      <c r="A25" s="1" t="s">
        <v>10</v>
      </c>
      <c r="B25" s="1" t="str">
        <f>("662671069269")</f>
        <v>662671069269</v>
      </c>
      <c r="C25" s="1">
        <v>762015</v>
      </c>
      <c r="D25" s="1" t="s">
        <v>43</v>
      </c>
      <c r="E25" s="1">
        <v>6.62</v>
      </c>
      <c r="F25" s="3">
        <v>45322</v>
      </c>
      <c r="G25" s="1">
        <v>2.5999999999999999E-2</v>
      </c>
      <c r="H25" s="1" t="str">
        <f>("10662671069266")</f>
        <v>10662671069266</v>
      </c>
      <c r="I25" s="1">
        <v>30</v>
      </c>
      <c r="J25" s="1">
        <v>5760</v>
      </c>
    </row>
    <row r="26" spans="1:10" x14ac:dyDescent="0.3">
      <c r="A26" s="1" t="s">
        <v>10</v>
      </c>
      <c r="B26" s="1" t="str">
        <f>("662671760333")</f>
        <v>662671760333</v>
      </c>
      <c r="C26" s="1" t="s">
        <v>44</v>
      </c>
      <c r="D26" s="1" t="s">
        <v>45</v>
      </c>
      <c r="E26" s="1">
        <v>4.87</v>
      </c>
      <c r="F26" s="3">
        <v>45322</v>
      </c>
      <c r="G26" s="1">
        <v>7.8E-2</v>
      </c>
      <c r="H26" s="1" t="str">
        <f>("10662671760330")</f>
        <v>10662671760330</v>
      </c>
      <c r="I26" s="1">
        <v>75</v>
      </c>
      <c r="J26" s="1">
        <v>2400</v>
      </c>
    </row>
    <row r="27" spans="1:10" x14ac:dyDescent="0.3">
      <c r="A27" s="1" t="s">
        <v>10</v>
      </c>
      <c r="B27" s="1" t="str">
        <f>("662671069276")</f>
        <v>662671069276</v>
      </c>
      <c r="C27" s="1">
        <v>762027</v>
      </c>
      <c r="D27" s="1" t="s">
        <v>46</v>
      </c>
      <c r="E27" s="1">
        <v>5.48</v>
      </c>
      <c r="F27" s="3">
        <v>45322</v>
      </c>
      <c r="G27" s="1">
        <v>2.5999999999999999E-2</v>
      </c>
      <c r="H27" s="1" t="str">
        <f>("10662671069273")</f>
        <v>10662671069273</v>
      </c>
      <c r="I27" s="1">
        <v>30</v>
      </c>
      <c r="J27" s="1">
        <v>5760</v>
      </c>
    </row>
    <row r="28" spans="1:10" x14ac:dyDescent="0.3">
      <c r="A28" s="1" t="s">
        <v>10</v>
      </c>
      <c r="B28" s="1" t="str">
        <f>("662671069283")</f>
        <v>662671069283</v>
      </c>
      <c r="C28" s="1">
        <v>762026</v>
      </c>
      <c r="D28" s="1" t="s">
        <v>47</v>
      </c>
      <c r="E28" s="1">
        <v>4.84</v>
      </c>
      <c r="F28" s="3">
        <v>45322</v>
      </c>
      <c r="G28" s="1">
        <v>1.4E-2</v>
      </c>
      <c r="H28" s="1" t="str">
        <f>("10662671069280")</f>
        <v>10662671069280</v>
      </c>
      <c r="I28" s="1">
        <v>100</v>
      </c>
      <c r="J28" s="1">
        <v>19200</v>
      </c>
    </row>
    <row r="29" spans="1:10" x14ac:dyDescent="0.3">
      <c r="A29" s="1" t="s">
        <v>10</v>
      </c>
      <c r="B29" s="1" t="str">
        <f>("662671069290")</f>
        <v>662671069290</v>
      </c>
      <c r="C29" s="1">
        <v>762100</v>
      </c>
      <c r="D29" s="1" t="s">
        <v>48</v>
      </c>
      <c r="E29" s="1">
        <v>3.74</v>
      </c>
      <c r="F29" s="3">
        <v>45322</v>
      </c>
      <c r="G29" s="1">
        <v>3.0000000000000001E-3</v>
      </c>
      <c r="H29" s="1" t="str">
        <f>("10662671069297")</f>
        <v>10662671069297</v>
      </c>
      <c r="I29" s="1">
        <v>2000</v>
      </c>
    </row>
    <row r="30" spans="1:10" x14ac:dyDescent="0.3">
      <c r="A30" s="1" t="s">
        <v>10</v>
      </c>
      <c r="B30" s="1" t="str">
        <f>("662671069306")</f>
        <v>662671069306</v>
      </c>
      <c r="C30" s="1">
        <v>762017</v>
      </c>
      <c r="D30" s="1" t="s">
        <v>49</v>
      </c>
      <c r="E30" s="1">
        <v>1.65</v>
      </c>
      <c r="F30" s="3">
        <v>45322</v>
      </c>
      <c r="G30" s="1">
        <v>1.2999999999999999E-2</v>
      </c>
      <c r="H30" s="1" t="str">
        <f>("10662671069303")</f>
        <v>10662671069303</v>
      </c>
      <c r="I30" s="1">
        <v>600</v>
      </c>
      <c r="J30" s="1">
        <v>28800</v>
      </c>
    </row>
    <row r="31" spans="1:10" x14ac:dyDescent="0.3">
      <c r="A31" s="1" t="s">
        <v>10</v>
      </c>
      <c r="B31" s="1" t="str">
        <f>("662671760371")</f>
        <v>662671760371</v>
      </c>
      <c r="C31" s="1" t="s">
        <v>50</v>
      </c>
      <c r="D31" s="1" t="s">
        <v>51</v>
      </c>
      <c r="E31" s="1">
        <v>4.87</v>
      </c>
      <c r="F31" s="3">
        <v>45322</v>
      </c>
      <c r="G31" s="1">
        <v>7.1999999999999995E-2</v>
      </c>
      <c r="H31" s="1" t="str">
        <f>("10662671760378")</f>
        <v>10662671760378</v>
      </c>
      <c r="I31" s="1">
        <v>50</v>
      </c>
      <c r="J31" s="1">
        <v>2400</v>
      </c>
    </row>
    <row r="32" spans="1:10" x14ac:dyDescent="0.3">
      <c r="A32" s="1" t="s">
        <v>10</v>
      </c>
      <c r="B32" s="1" t="str">
        <f>("662671760395")</f>
        <v>662671760395</v>
      </c>
      <c r="C32" s="1" t="s">
        <v>52</v>
      </c>
      <c r="D32" s="1" t="s">
        <v>53</v>
      </c>
      <c r="E32" s="1">
        <v>12.51</v>
      </c>
      <c r="F32" s="3">
        <v>45322</v>
      </c>
      <c r="G32" s="1">
        <v>0.10100000000000001</v>
      </c>
      <c r="H32" s="1" t="str">
        <f>("10662671760392")</f>
        <v>10662671760392</v>
      </c>
      <c r="I32" s="1">
        <v>50</v>
      </c>
      <c r="J32" s="1">
        <v>1600</v>
      </c>
    </row>
    <row r="33" spans="1:10" x14ac:dyDescent="0.3">
      <c r="A33" s="1" t="s">
        <v>10</v>
      </c>
      <c r="B33" s="1" t="str">
        <f>("662671760470")</f>
        <v>662671760470</v>
      </c>
      <c r="C33" s="1" t="s">
        <v>54</v>
      </c>
      <c r="D33" s="1" t="s">
        <v>55</v>
      </c>
      <c r="E33" s="1">
        <v>3.67</v>
      </c>
      <c r="F33" s="3">
        <v>45322</v>
      </c>
      <c r="G33" s="1">
        <v>3.9E-2</v>
      </c>
      <c r="H33" s="1" t="str">
        <f>("10662671760477")</f>
        <v>10662671760477</v>
      </c>
      <c r="I33" s="1">
        <v>80</v>
      </c>
      <c r="J33" s="1">
        <v>5760</v>
      </c>
    </row>
    <row r="34" spans="1:10" x14ac:dyDescent="0.3">
      <c r="A34" s="1" t="s">
        <v>10</v>
      </c>
      <c r="B34" s="1" t="str">
        <f>("662671760531")</f>
        <v>662671760531</v>
      </c>
      <c r="C34" s="1" t="s">
        <v>56</v>
      </c>
      <c r="D34" s="1" t="s">
        <v>57</v>
      </c>
      <c r="E34" s="1">
        <v>3.74</v>
      </c>
      <c r="F34" s="3">
        <v>45322</v>
      </c>
      <c r="G34" s="1">
        <v>3.5999999999999997E-2</v>
      </c>
      <c r="H34" s="1" t="str">
        <f>("10662671760538")</f>
        <v>10662671760538</v>
      </c>
      <c r="I34" s="1">
        <v>80</v>
      </c>
      <c r="J34" s="1">
        <v>5760</v>
      </c>
    </row>
    <row r="35" spans="1:10" x14ac:dyDescent="0.3">
      <c r="A35" s="1" t="s">
        <v>10</v>
      </c>
      <c r="B35" s="1" t="str">
        <f>("662671069849")</f>
        <v>662671069849</v>
      </c>
      <c r="C35" s="1">
        <v>762145</v>
      </c>
      <c r="D35" s="1" t="s">
        <v>58</v>
      </c>
      <c r="E35" s="1">
        <v>10.41</v>
      </c>
      <c r="F35" s="3">
        <v>45322</v>
      </c>
      <c r="G35" s="1">
        <v>5.8000000000000003E-2</v>
      </c>
      <c r="H35" s="1" t="str">
        <f>("10662671069846")</f>
        <v>10662671069846</v>
      </c>
      <c r="I35" s="1">
        <v>65</v>
      </c>
      <c r="J35" s="1">
        <v>3120</v>
      </c>
    </row>
    <row r="36" spans="1:10" x14ac:dyDescent="0.3">
      <c r="A36" s="1" t="s">
        <v>10</v>
      </c>
      <c r="B36" s="1" t="str">
        <f>("662671760555")</f>
        <v>662671760555</v>
      </c>
      <c r="C36" s="1" t="s">
        <v>59</v>
      </c>
      <c r="D36" s="1" t="s">
        <v>60</v>
      </c>
      <c r="E36" s="1">
        <v>5.32</v>
      </c>
      <c r="F36" s="3">
        <v>45322</v>
      </c>
      <c r="G36" s="1">
        <v>3.2000000000000001E-2</v>
      </c>
      <c r="H36" s="1" t="str">
        <f>("10662671760552")</f>
        <v>10662671760552</v>
      </c>
      <c r="I36" s="1">
        <v>75</v>
      </c>
      <c r="J36" s="1">
        <v>5400</v>
      </c>
    </row>
    <row r="37" spans="1:10" x14ac:dyDescent="0.3">
      <c r="A37" s="1" t="s">
        <v>10</v>
      </c>
      <c r="B37" s="1" t="str">
        <f>("662671069856")</f>
        <v>662671069856</v>
      </c>
      <c r="C37" s="1">
        <v>762031</v>
      </c>
      <c r="D37" s="1" t="s">
        <v>61</v>
      </c>
      <c r="E37" s="1">
        <v>5.87</v>
      </c>
      <c r="F37" s="3">
        <v>45322</v>
      </c>
      <c r="G37" s="1">
        <v>1.4E-2</v>
      </c>
      <c r="H37" s="1" t="str">
        <f>("20662671069850")</f>
        <v>20662671069850</v>
      </c>
      <c r="I37" s="1">
        <v>100</v>
      </c>
      <c r="J37" s="1">
        <v>19200</v>
      </c>
    </row>
    <row r="38" spans="1:10" x14ac:dyDescent="0.3">
      <c r="A38" s="1" t="s">
        <v>10</v>
      </c>
      <c r="B38" s="1" t="str">
        <f>("662671760593")</f>
        <v>662671760593</v>
      </c>
      <c r="C38" s="1" t="s">
        <v>62</v>
      </c>
      <c r="D38" s="1" t="s">
        <v>63</v>
      </c>
      <c r="E38" s="1">
        <v>8.76</v>
      </c>
      <c r="F38" s="3">
        <v>45322</v>
      </c>
      <c r="G38" s="1">
        <v>8.5000000000000006E-2</v>
      </c>
      <c r="H38" s="1" t="str">
        <f>("10662671760590")</f>
        <v>10662671760590</v>
      </c>
      <c r="I38" s="1">
        <v>60</v>
      </c>
      <c r="J38" s="1">
        <v>1920</v>
      </c>
    </row>
    <row r="39" spans="1:10" x14ac:dyDescent="0.3">
      <c r="A39" s="1" t="s">
        <v>10</v>
      </c>
      <c r="B39" s="1" t="str">
        <f>("662671762580")</f>
        <v>662671762580</v>
      </c>
      <c r="C39" s="1" t="s">
        <v>64</v>
      </c>
      <c r="D39" s="1" t="s">
        <v>65</v>
      </c>
      <c r="E39" s="1">
        <v>2.96</v>
      </c>
      <c r="F39" s="3">
        <v>45322</v>
      </c>
      <c r="G39" s="1">
        <v>2.1999999999999999E-2</v>
      </c>
      <c r="H39" s="1" t="str">
        <f>("10662671762587")</f>
        <v>10662671762587</v>
      </c>
      <c r="I39" s="1">
        <v>125</v>
      </c>
      <c r="J39" s="1">
        <v>9000</v>
      </c>
    </row>
    <row r="40" spans="1:10" x14ac:dyDescent="0.3">
      <c r="A40" s="1" t="s">
        <v>10</v>
      </c>
      <c r="B40" s="1" t="str">
        <f>("662671762269")</f>
        <v>662671762269</v>
      </c>
      <c r="C40" s="1" t="s">
        <v>66</v>
      </c>
      <c r="D40" s="1" t="s">
        <v>67</v>
      </c>
      <c r="E40" s="1">
        <v>4.91</v>
      </c>
      <c r="F40" s="3">
        <v>45322</v>
      </c>
      <c r="G40" s="1">
        <v>2.1999999999999999E-2</v>
      </c>
      <c r="H40" s="1" t="str">
        <f>("10662671762266")</f>
        <v>10662671762266</v>
      </c>
      <c r="I40" s="1">
        <v>175</v>
      </c>
      <c r="J40" s="1">
        <v>8400</v>
      </c>
    </row>
    <row r="41" spans="1:10" x14ac:dyDescent="0.3">
      <c r="A41" s="1" t="s">
        <v>10</v>
      </c>
      <c r="B41" s="1" t="str">
        <f>("662671760647")</f>
        <v>662671760647</v>
      </c>
      <c r="C41" s="1" t="s">
        <v>68</v>
      </c>
      <c r="D41" s="1" t="s">
        <v>69</v>
      </c>
      <c r="E41" s="1">
        <v>1.84</v>
      </c>
      <c r="F41" s="3">
        <v>45322</v>
      </c>
      <c r="G41" s="1">
        <v>2.1999999999999999E-2</v>
      </c>
      <c r="H41" s="1" t="str">
        <f>("10662671760644")</f>
        <v>10662671760644</v>
      </c>
      <c r="I41" s="1">
        <v>175</v>
      </c>
      <c r="J41" s="1">
        <v>8400</v>
      </c>
    </row>
    <row r="42" spans="1:10" x14ac:dyDescent="0.3">
      <c r="A42" s="1" t="s">
        <v>10</v>
      </c>
      <c r="B42" s="1" t="str">
        <f>("662671762603")</f>
        <v>662671762603</v>
      </c>
      <c r="C42" s="1" t="s">
        <v>70</v>
      </c>
      <c r="D42" s="1" t="s">
        <v>71</v>
      </c>
      <c r="E42" s="1">
        <v>7.49</v>
      </c>
      <c r="F42" s="3">
        <v>45322</v>
      </c>
      <c r="G42" s="1">
        <v>2.7E-2</v>
      </c>
      <c r="H42" s="1" t="str">
        <f>("10662671762600")</f>
        <v>10662671762600</v>
      </c>
      <c r="I42" s="1">
        <v>90</v>
      </c>
      <c r="J42" s="1">
        <v>12960</v>
      </c>
    </row>
    <row r="43" spans="1:10" x14ac:dyDescent="0.3">
      <c r="A43" s="1" t="s">
        <v>10</v>
      </c>
      <c r="B43" s="1" t="str">
        <f>("662671072825")</f>
        <v>662671072825</v>
      </c>
      <c r="C43" s="1" t="s">
        <v>72</v>
      </c>
      <c r="D43" s="1" t="s">
        <v>73</v>
      </c>
      <c r="E43" s="1">
        <v>84.54</v>
      </c>
      <c r="F43" s="3">
        <v>45322</v>
      </c>
      <c r="G43" s="1">
        <v>0.25</v>
      </c>
      <c r="H43" s="1" t="str">
        <f>("10662671072822")</f>
        <v>10662671072822</v>
      </c>
      <c r="I43" s="1">
        <v>20</v>
      </c>
      <c r="J43" s="1">
        <v>640</v>
      </c>
    </row>
    <row r="44" spans="1:10" x14ac:dyDescent="0.3">
      <c r="A44" s="1" t="s">
        <v>10</v>
      </c>
      <c r="B44" s="1" t="str">
        <f>("662671072832")</f>
        <v>662671072832</v>
      </c>
      <c r="C44" s="1" t="s">
        <v>74</v>
      </c>
      <c r="D44" s="1" t="s">
        <v>75</v>
      </c>
      <c r="E44" s="1">
        <v>67.61</v>
      </c>
      <c r="F44" s="3">
        <v>45322</v>
      </c>
      <c r="G44" s="1">
        <v>0.13800000000000001</v>
      </c>
      <c r="H44" s="1" t="str">
        <f>("10662671072839")</f>
        <v>10662671072839</v>
      </c>
      <c r="I44" s="1">
        <v>20</v>
      </c>
      <c r="J44" s="1">
        <v>1440</v>
      </c>
    </row>
    <row r="45" spans="1:10" x14ac:dyDescent="0.3">
      <c r="A45" s="1" t="s">
        <v>10</v>
      </c>
      <c r="B45" s="1" t="str">
        <f>("662671762597")</f>
        <v>662671762597</v>
      </c>
      <c r="C45" s="1" t="s">
        <v>76</v>
      </c>
      <c r="D45" s="1" t="s">
        <v>77</v>
      </c>
      <c r="E45" s="1">
        <v>4</v>
      </c>
      <c r="F45" s="3">
        <v>45322</v>
      </c>
      <c r="G45" s="1">
        <v>2.4E-2</v>
      </c>
      <c r="H45" s="1" t="str">
        <f>("10662671762594")</f>
        <v>10662671762594</v>
      </c>
      <c r="I45" s="1">
        <v>90</v>
      </c>
      <c r="J45" s="1">
        <v>12960</v>
      </c>
    </row>
    <row r="46" spans="1:10" x14ac:dyDescent="0.3">
      <c r="A46" s="1" t="s">
        <v>10</v>
      </c>
      <c r="B46" s="1" t="str">
        <f>("662671072849")</f>
        <v>662671072849</v>
      </c>
      <c r="C46" s="1" t="s">
        <v>78</v>
      </c>
      <c r="D46" s="1" t="s">
        <v>79</v>
      </c>
      <c r="E46" s="1">
        <v>40.340000000000003</v>
      </c>
      <c r="F46" s="3">
        <v>45322</v>
      </c>
      <c r="G46" s="1">
        <v>6.8000000000000005E-2</v>
      </c>
      <c r="H46" s="1" t="str">
        <f>("10662671072846")</f>
        <v>10662671072846</v>
      </c>
      <c r="I46" s="1">
        <v>20</v>
      </c>
      <c r="J46" s="1">
        <v>2500</v>
      </c>
    </row>
    <row r="47" spans="1:10" x14ac:dyDescent="0.3">
      <c r="A47" s="1" t="s">
        <v>10</v>
      </c>
      <c r="B47" s="1" t="str">
        <f>("662671072818")</f>
        <v>662671072818</v>
      </c>
      <c r="C47" s="1" t="s">
        <v>80</v>
      </c>
      <c r="D47" s="1" t="s">
        <v>81</v>
      </c>
      <c r="E47" s="1">
        <v>6.17</v>
      </c>
      <c r="F47" s="3">
        <v>45322</v>
      </c>
      <c r="G47" s="1">
        <v>3.5000000000000003E-2</v>
      </c>
      <c r="H47" s="1" t="str">
        <f>("10662671072815")</f>
        <v>10662671072815</v>
      </c>
      <c r="I47" s="1">
        <v>36</v>
      </c>
      <c r="J47" s="1">
        <v>4860</v>
      </c>
    </row>
    <row r="48" spans="1:10" x14ac:dyDescent="0.3">
      <c r="A48" s="1" t="s">
        <v>10</v>
      </c>
      <c r="B48" s="1" t="str">
        <f>("662671073181")</f>
        <v>662671073181</v>
      </c>
      <c r="C48" s="1" t="s">
        <v>82</v>
      </c>
      <c r="D48" s="1" t="s">
        <v>83</v>
      </c>
      <c r="E48" s="1">
        <v>257.33</v>
      </c>
      <c r="F48" s="3">
        <v>45322</v>
      </c>
      <c r="G48" s="1">
        <v>0.245</v>
      </c>
      <c r="H48" s="1" t="str">
        <f>("10662671073188")</f>
        <v>10662671073188</v>
      </c>
      <c r="I48" s="1">
        <v>20</v>
      </c>
      <c r="J48" s="1">
        <v>640</v>
      </c>
    </row>
    <row r="49" spans="1:10" x14ac:dyDescent="0.3">
      <c r="A49" s="1" t="s">
        <v>10</v>
      </c>
      <c r="B49" s="1" t="str">
        <f>("662671762610")</f>
        <v>662671762610</v>
      </c>
      <c r="C49" s="1" t="s">
        <v>84</v>
      </c>
      <c r="D49" s="1" t="s">
        <v>85</v>
      </c>
      <c r="E49" s="1">
        <v>10.3</v>
      </c>
      <c r="F49" s="3">
        <v>45322</v>
      </c>
      <c r="G49" s="1">
        <v>3.5999999999999997E-2</v>
      </c>
      <c r="H49" s="1" t="str">
        <f>("10662671762617")</f>
        <v>10662671762617</v>
      </c>
      <c r="I49" s="1">
        <v>135</v>
      </c>
      <c r="J49" s="1">
        <v>9720</v>
      </c>
    </row>
    <row r="50" spans="1:10" x14ac:dyDescent="0.3">
      <c r="A50" s="1" t="s">
        <v>10</v>
      </c>
      <c r="B50" s="1" t="str">
        <f>("662671762771")</f>
        <v>662671762771</v>
      </c>
      <c r="C50" s="1" t="s">
        <v>86</v>
      </c>
      <c r="D50" s="1" t="s">
        <v>87</v>
      </c>
      <c r="E50" s="1">
        <v>2.96</v>
      </c>
      <c r="F50" s="3">
        <v>45322</v>
      </c>
      <c r="G50" s="1">
        <v>2.4E-2</v>
      </c>
      <c r="H50" s="1" t="str">
        <f>("10662671762778")</f>
        <v>10662671762778</v>
      </c>
      <c r="I50" s="1">
        <v>125</v>
      </c>
      <c r="J50" s="1">
        <v>9000</v>
      </c>
    </row>
    <row r="51" spans="1:10" x14ac:dyDescent="0.3">
      <c r="A51" s="1" t="s">
        <v>10</v>
      </c>
      <c r="B51" s="1" t="str">
        <f>("662671762627")</f>
        <v>662671762627</v>
      </c>
      <c r="C51" s="1" t="s">
        <v>88</v>
      </c>
      <c r="D51" s="1" t="s">
        <v>89</v>
      </c>
      <c r="E51" s="1">
        <v>3.07</v>
      </c>
      <c r="F51" s="3">
        <v>45322</v>
      </c>
      <c r="G51" s="1">
        <v>2.1999999999999999E-2</v>
      </c>
      <c r="H51" s="1" t="str">
        <f>("10662671762624")</f>
        <v>10662671762624</v>
      </c>
      <c r="I51" s="1">
        <v>100</v>
      </c>
      <c r="J51" s="1">
        <v>14400</v>
      </c>
    </row>
    <row r="52" spans="1:10" x14ac:dyDescent="0.3">
      <c r="A52" s="1" t="s">
        <v>10</v>
      </c>
      <c r="B52" s="1" t="str">
        <f>("662671760708")</f>
        <v>662671760708</v>
      </c>
      <c r="C52" s="1" t="s">
        <v>90</v>
      </c>
      <c r="D52" s="1" t="s">
        <v>91</v>
      </c>
      <c r="E52" s="1">
        <v>28.35</v>
      </c>
      <c r="F52" s="3">
        <v>45322</v>
      </c>
      <c r="G52" s="1">
        <v>9.8000000000000004E-2</v>
      </c>
      <c r="H52" s="1" t="str">
        <f>("10662671760705")</f>
        <v>10662671760705</v>
      </c>
      <c r="I52" s="1">
        <v>25</v>
      </c>
      <c r="J52" s="1">
        <v>1800</v>
      </c>
    </row>
    <row r="53" spans="1:10" x14ac:dyDescent="0.3">
      <c r="A53" s="1" t="s">
        <v>10</v>
      </c>
      <c r="B53" s="1" t="str">
        <f>("662671762221")</f>
        <v>662671762221</v>
      </c>
      <c r="C53" s="1" t="s">
        <v>92</v>
      </c>
      <c r="D53" s="1" t="s">
        <v>93</v>
      </c>
      <c r="E53" s="1">
        <v>4.9400000000000004</v>
      </c>
      <c r="F53" s="3">
        <v>45322</v>
      </c>
      <c r="G53" s="1">
        <v>1.7999999999999999E-2</v>
      </c>
      <c r="H53" s="1" t="str">
        <f>("10662671762228")</f>
        <v>10662671762228</v>
      </c>
      <c r="I53" s="1">
        <v>100</v>
      </c>
      <c r="J53" s="1">
        <v>14400</v>
      </c>
    </row>
    <row r="54" spans="1:10" x14ac:dyDescent="0.3">
      <c r="A54" s="1" t="s">
        <v>10</v>
      </c>
      <c r="B54" s="1" t="str">
        <f>("662671760739")</f>
        <v>662671760739</v>
      </c>
      <c r="C54" s="1" t="s">
        <v>94</v>
      </c>
      <c r="D54" s="1" t="s">
        <v>95</v>
      </c>
      <c r="E54" s="1">
        <v>9.4499999999999993</v>
      </c>
      <c r="F54" s="3">
        <v>45322</v>
      </c>
      <c r="G54" s="1">
        <v>5.6000000000000001E-2</v>
      </c>
      <c r="H54" s="1" t="str">
        <f>("10662671760736")</f>
        <v>10662671760736</v>
      </c>
      <c r="I54" s="1">
        <v>75</v>
      </c>
      <c r="J54" s="1">
        <v>3600</v>
      </c>
    </row>
    <row r="55" spans="1:10" x14ac:dyDescent="0.3">
      <c r="A55" s="1" t="s">
        <v>10</v>
      </c>
      <c r="B55" s="1" t="str">
        <f>("662671762504")</f>
        <v>662671762504</v>
      </c>
      <c r="C55" s="1" t="s">
        <v>96</v>
      </c>
      <c r="D55" s="1" t="s">
        <v>97</v>
      </c>
      <c r="E55" s="1">
        <v>6.25</v>
      </c>
      <c r="F55" s="3">
        <v>45322</v>
      </c>
      <c r="G55" s="1">
        <v>1.7999999999999999E-2</v>
      </c>
      <c r="H55" s="1" t="str">
        <f>("10662671762501")</f>
        <v>10662671762501</v>
      </c>
      <c r="I55" s="1">
        <v>100</v>
      </c>
      <c r="J55" s="1">
        <v>7200</v>
      </c>
    </row>
    <row r="56" spans="1:10" x14ac:dyDescent="0.3">
      <c r="A56" s="1" t="s">
        <v>10</v>
      </c>
      <c r="B56" s="1" t="str">
        <f>("662671761316")</f>
        <v>662671761316</v>
      </c>
      <c r="C56" s="1" t="s">
        <v>98</v>
      </c>
      <c r="D56" s="1" t="s">
        <v>99</v>
      </c>
      <c r="E56" s="1">
        <v>1.3</v>
      </c>
      <c r="F56" s="3">
        <v>45322</v>
      </c>
      <c r="G56" s="1">
        <v>5.0000000000000001E-3</v>
      </c>
      <c r="H56" s="1" t="str">
        <f>("10662671761313")</f>
        <v>10662671761313</v>
      </c>
      <c r="I56" s="1">
        <v>500</v>
      </c>
      <c r="J56" s="1">
        <v>36000</v>
      </c>
    </row>
    <row r="57" spans="1:10" x14ac:dyDescent="0.3">
      <c r="A57" s="1" t="s">
        <v>10</v>
      </c>
      <c r="B57" s="1" t="str">
        <f>("662671760753")</f>
        <v>662671760753</v>
      </c>
      <c r="C57" s="1" t="s">
        <v>100</v>
      </c>
      <c r="D57" s="1" t="s">
        <v>101</v>
      </c>
      <c r="E57" s="1">
        <v>1.44</v>
      </c>
      <c r="F57" s="3">
        <v>45322</v>
      </c>
      <c r="G57" s="1">
        <v>1.2999999999999999E-2</v>
      </c>
      <c r="H57" s="1" t="str">
        <f>("10662671760750")</f>
        <v>10662671760750</v>
      </c>
      <c r="I57" s="1">
        <v>300</v>
      </c>
      <c r="J57" s="1">
        <v>21600</v>
      </c>
    </row>
    <row r="58" spans="1:10" x14ac:dyDescent="0.3">
      <c r="A58" s="1" t="s">
        <v>10</v>
      </c>
      <c r="B58" s="1" t="str">
        <f>("662671762252")</f>
        <v>662671762252</v>
      </c>
      <c r="C58" s="1" t="s">
        <v>102</v>
      </c>
      <c r="D58" s="1" t="s">
        <v>103</v>
      </c>
      <c r="E58" s="1">
        <v>6.79</v>
      </c>
      <c r="F58" s="3">
        <v>45322</v>
      </c>
      <c r="G58" s="1">
        <v>1.6E-2</v>
      </c>
      <c r="H58" s="1" t="str">
        <f>("10662671762259")</f>
        <v>10662671762259</v>
      </c>
      <c r="I58" s="1">
        <v>75</v>
      </c>
      <c r="J58" s="1">
        <v>5400</v>
      </c>
    </row>
    <row r="59" spans="1:10" x14ac:dyDescent="0.3">
      <c r="A59" s="1" t="s">
        <v>10</v>
      </c>
      <c r="B59" s="1" t="str">
        <f>("662671762238")</f>
        <v>662671762238</v>
      </c>
      <c r="C59" s="1" t="s">
        <v>104</v>
      </c>
      <c r="D59" s="1" t="s">
        <v>105</v>
      </c>
      <c r="E59" s="1">
        <v>4.13</v>
      </c>
      <c r="F59" s="3">
        <v>45322</v>
      </c>
      <c r="G59" s="1">
        <v>1.7999999999999999E-2</v>
      </c>
      <c r="H59" s="1" t="str">
        <f>("10662671762235")</f>
        <v>10662671762235</v>
      </c>
      <c r="I59" s="1">
        <v>250</v>
      </c>
      <c r="J59" s="1">
        <v>18000</v>
      </c>
    </row>
    <row r="60" spans="1:10" x14ac:dyDescent="0.3">
      <c r="A60" s="1" t="s">
        <v>10</v>
      </c>
      <c r="B60" s="1" t="str">
        <f>("662671762528")</f>
        <v>662671762528</v>
      </c>
      <c r="C60" s="1" t="s">
        <v>106</v>
      </c>
      <c r="D60" s="1" t="s">
        <v>107</v>
      </c>
      <c r="E60" s="1">
        <v>6.44</v>
      </c>
      <c r="F60" s="3">
        <v>45322</v>
      </c>
      <c r="G60" s="1">
        <v>1.4999999999999999E-2</v>
      </c>
      <c r="H60" s="1" t="str">
        <f>("10662671762525")</f>
        <v>10662671762525</v>
      </c>
      <c r="I60" s="1">
        <v>250</v>
      </c>
      <c r="J60" s="1">
        <v>18000</v>
      </c>
    </row>
    <row r="61" spans="1:10" x14ac:dyDescent="0.3">
      <c r="A61" s="1" t="s">
        <v>10</v>
      </c>
      <c r="B61" s="1" t="str">
        <f>("662671762344")</f>
        <v>662671762344</v>
      </c>
      <c r="C61" s="1" t="s">
        <v>108</v>
      </c>
      <c r="D61" s="1" t="s">
        <v>109</v>
      </c>
      <c r="E61" s="1">
        <v>25.65</v>
      </c>
      <c r="F61" s="3">
        <v>45322</v>
      </c>
      <c r="G61" s="1">
        <v>2.7E-2</v>
      </c>
      <c r="H61" s="1" t="str">
        <f>("10662671762341")</f>
        <v>10662671762341</v>
      </c>
      <c r="I61" s="1">
        <v>150</v>
      </c>
      <c r="J61" s="1">
        <v>10800</v>
      </c>
    </row>
    <row r="62" spans="1:10" x14ac:dyDescent="0.3">
      <c r="A62" s="1" t="s">
        <v>10</v>
      </c>
      <c r="B62" s="1" t="str">
        <f>("662671760852")</f>
        <v>662671760852</v>
      </c>
      <c r="C62" s="1" t="s">
        <v>110</v>
      </c>
      <c r="D62" s="1" t="s">
        <v>111</v>
      </c>
      <c r="E62" s="1">
        <v>20.68</v>
      </c>
      <c r="F62" s="3">
        <v>45322</v>
      </c>
      <c r="G62" s="1">
        <v>7.0999999999999994E-2</v>
      </c>
      <c r="H62" s="1" t="str">
        <f>("10662671760859")</f>
        <v>10662671760859</v>
      </c>
      <c r="I62" s="1">
        <v>75</v>
      </c>
      <c r="J62" s="1">
        <v>3600</v>
      </c>
    </row>
    <row r="63" spans="1:10" x14ac:dyDescent="0.3">
      <c r="A63" s="1" t="s">
        <v>10</v>
      </c>
      <c r="B63" s="1" t="str">
        <f>("662671762245")</f>
        <v>662671762245</v>
      </c>
      <c r="C63" s="1" t="s">
        <v>112</v>
      </c>
      <c r="D63" s="1" t="s">
        <v>113</v>
      </c>
      <c r="E63" s="1">
        <v>9.83</v>
      </c>
      <c r="F63" s="3">
        <v>45322</v>
      </c>
      <c r="G63" s="1">
        <v>2.7E-2</v>
      </c>
      <c r="H63" s="1" t="str">
        <f>("10662671762242")</f>
        <v>10662671762242</v>
      </c>
      <c r="I63" s="1">
        <v>150</v>
      </c>
      <c r="J63" s="1">
        <v>10800</v>
      </c>
    </row>
    <row r="64" spans="1:10" x14ac:dyDescent="0.3">
      <c r="A64" s="1" t="s">
        <v>10</v>
      </c>
      <c r="B64" s="1" t="str">
        <f>("662671760906")</f>
        <v>662671760906</v>
      </c>
      <c r="C64" s="1" t="s">
        <v>114</v>
      </c>
      <c r="D64" s="1" t="s">
        <v>115</v>
      </c>
      <c r="E64" s="1">
        <v>14.03</v>
      </c>
      <c r="F64" s="3">
        <v>45322</v>
      </c>
      <c r="G64" s="1">
        <v>5.8999999999999997E-2</v>
      </c>
      <c r="H64" s="1" t="str">
        <f>("10662671760903")</f>
        <v>10662671760903</v>
      </c>
      <c r="I64" s="1">
        <v>130</v>
      </c>
      <c r="J64" s="1">
        <v>4160</v>
      </c>
    </row>
    <row r="65" spans="1:10" x14ac:dyDescent="0.3">
      <c r="A65" s="1" t="s">
        <v>10</v>
      </c>
      <c r="B65" s="1" t="str">
        <f>("662671760913")</f>
        <v>662671760913</v>
      </c>
      <c r="C65" s="1" t="s">
        <v>116</v>
      </c>
      <c r="D65" s="1" t="s">
        <v>117</v>
      </c>
      <c r="E65" s="1">
        <v>9.9700000000000006</v>
      </c>
      <c r="F65" s="3">
        <v>45322</v>
      </c>
      <c r="G65" s="1">
        <v>6.5000000000000002E-2</v>
      </c>
      <c r="H65" s="1" t="str">
        <f>("10662671760910")</f>
        <v>10662671760910</v>
      </c>
      <c r="I65" s="1">
        <v>150</v>
      </c>
    </row>
    <row r="66" spans="1:10" x14ac:dyDescent="0.3">
      <c r="A66" s="1" t="s">
        <v>10</v>
      </c>
      <c r="B66" s="1" t="str">
        <f>("662671762856")</f>
        <v>662671762856</v>
      </c>
      <c r="C66" s="1" t="s">
        <v>118</v>
      </c>
      <c r="D66" s="1" t="s">
        <v>119</v>
      </c>
      <c r="E66" s="1">
        <v>10.02</v>
      </c>
      <c r="F66" s="3">
        <v>45322</v>
      </c>
      <c r="G66" s="1">
        <v>0.04</v>
      </c>
      <c r="H66" s="1" t="str">
        <f>("10662671762853")</f>
        <v>10662671762853</v>
      </c>
      <c r="I66" s="1">
        <v>60</v>
      </c>
      <c r="J66" s="1">
        <v>4320</v>
      </c>
    </row>
    <row r="67" spans="1:10" x14ac:dyDescent="0.3">
      <c r="A67" s="1" t="s">
        <v>10</v>
      </c>
      <c r="B67" s="1" t="str">
        <f>("662671762788")</f>
        <v>662671762788</v>
      </c>
      <c r="C67" s="1" t="s">
        <v>120</v>
      </c>
      <c r="D67" s="1" t="s">
        <v>121</v>
      </c>
      <c r="E67" s="1">
        <v>20.74</v>
      </c>
      <c r="F67" s="3">
        <v>45322</v>
      </c>
      <c r="G67" s="1">
        <v>9.0999999999999998E-2</v>
      </c>
      <c r="H67" s="1" t="str">
        <f>("10662671762785")</f>
        <v>10662671762785</v>
      </c>
      <c r="I67" s="1">
        <v>64</v>
      </c>
      <c r="J67" s="1">
        <v>4608</v>
      </c>
    </row>
    <row r="68" spans="1:10" x14ac:dyDescent="0.3">
      <c r="A68" s="1" t="s">
        <v>10</v>
      </c>
      <c r="B68" s="1" t="str">
        <f>("662671761347")</f>
        <v>662671761347</v>
      </c>
      <c r="C68" s="1" t="s">
        <v>122</v>
      </c>
      <c r="D68" s="1" t="s">
        <v>123</v>
      </c>
      <c r="E68" s="1">
        <v>9.59</v>
      </c>
      <c r="F68" s="3">
        <v>45322</v>
      </c>
      <c r="G68" s="1">
        <v>5.3999999999999999E-2</v>
      </c>
      <c r="H68" s="1" t="str">
        <f>("10662671761344")</f>
        <v>10662671761344</v>
      </c>
      <c r="I68" s="1">
        <v>75</v>
      </c>
      <c r="J68" s="1">
        <v>3600</v>
      </c>
    </row>
    <row r="69" spans="1:10" x14ac:dyDescent="0.3">
      <c r="A69" s="1" t="s">
        <v>10</v>
      </c>
      <c r="B69" s="1" t="str">
        <f>("662671762474")</f>
        <v>662671762474</v>
      </c>
      <c r="C69" s="1" t="s">
        <v>124</v>
      </c>
      <c r="D69" s="1" t="s">
        <v>125</v>
      </c>
      <c r="E69" s="1">
        <v>24.23</v>
      </c>
      <c r="F69" s="3">
        <v>45322</v>
      </c>
      <c r="G69" s="1">
        <v>6.7000000000000004E-2</v>
      </c>
      <c r="H69" s="1" t="str">
        <f>("10662671762471")</f>
        <v>10662671762471</v>
      </c>
      <c r="I69" s="1">
        <v>60</v>
      </c>
      <c r="J69" s="1">
        <v>4320</v>
      </c>
    </row>
    <row r="70" spans="1:10" x14ac:dyDescent="0.3">
      <c r="A70" s="1" t="s">
        <v>10</v>
      </c>
      <c r="B70" s="1" t="str">
        <f>("662671762337")</f>
        <v>662671762337</v>
      </c>
      <c r="C70" s="1" t="s">
        <v>126</v>
      </c>
      <c r="D70" s="1" t="s">
        <v>127</v>
      </c>
      <c r="E70" s="1">
        <v>20.059999999999999</v>
      </c>
      <c r="F70" s="3">
        <v>45322</v>
      </c>
      <c r="G70" s="1">
        <v>6.0999999999999999E-2</v>
      </c>
      <c r="H70" s="1" t="str">
        <f>("10662671762334")</f>
        <v>10662671762334</v>
      </c>
      <c r="I70" s="1">
        <v>60</v>
      </c>
      <c r="J70" s="1">
        <v>4320</v>
      </c>
    </row>
    <row r="71" spans="1:10" x14ac:dyDescent="0.3">
      <c r="A71" s="1" t="s">
        <v>10</v>
      </c>
      <c r="B71" s="1" t="str">
        <f>("662671762351")</f>
        <v>662671762351</v>
      </c>
      <c r="C71" s="1" t="s">
        <v>128</v>
      </c>
      <c r="D71" s="1" t="s">
        <v>129</v>
      </c>
      <c r="E71" s="1">
        <v>7.98</v>
      </c>
      <c r="F71" s="3">
        <v>45322</v>
      </c>
      <c r="G71" s="1">
        <v>2.8000000000000001E-2</v>
      </c>
      <c r="H71" s="1" t="str">
        <f>("10662671762358")</f>
        <v>10662671762358</v>
      </c>
      <c r="I71" s="1">
        <v>120</v>
      </c>
      <c r="J71" s="1">
        <v>17280</v>
      </c>
    </row>
    <row r="72" spans="1:10" x14ac:dyDescent="0.3">
      <c r="A72" s="1" t="s">
        <v>10</v>
      </c>
      <c r="B72" s="1" t="str">
        <f>("662671761026")</f>
        <v>662671761026</v>
      </c>
      <c r="C72" s="1" t="s">
        <v>130</v>
      </c>
      <c r="D72" s="1" t="s">
        <v>131</v>
      </c>
      <c r="E72" s="1">
        <v>7.67</v>
      </c>
      <c r="F72" s="3">
        <v>45322</v>
      </c>
      <c r="G72" s="1">
        <v>3.5999999999999997E-2</v>
      </c>
      <c r="H72" s="1" t="str">
        <f>("10662671761023")</f>
        <v>10662671761023</v>
      </c>
      <c r="I72" s="1">
        <v>120</v>
      </c>
      <c r="J72" s="1">
        <v>17280</v>
      </c>
    </row>
    <row r="73" spans="1:10" x14ac:dyDescent="0.3">
      <c r="A73" s="1" t="s">
        <v>10</v>
      </c>
      <c r="B73" s="1" t="str">
        <f>("662671761132")</f>
        <v>662671761132</v>
      </c>
      <c r="C73" s="1" t="s">
        <v>132</v>
      </c>
      <c r="D73" s="1" t="s">
        <v>133</v>
      </c>
      <c r="E73" s="1">
        <v>15.25</v>
      </c>
      <c r="F73" s="3">
        <v>45322</v>
      </c>
      <c r="G73" s="1">
        <v>6.4000000000000001E-2</v>
      </c>
      <c r="H73" s="1" t="str">
        <f>("10662671761139")</f>
        <v>10662671761139</v>
      </c>
      <c r="I73" s="1">
        <v>100</v>
      </c>
      <c r="J73" s="1">
        <v>3200</v>
      </c>
    </row>
    <row r="74" spans="1:10" x14ac:dyDescent="0.3">
      <c r="A74" s="1" t="s">
        <v>10</v>
      </c>
      <c r="B74" s="1" t="str">
        <f>("662671064073")</f>
        <v>662671064073</v>
      </c>
      <c r="C74" s="1">
        <v>775851</v>
      </c>
      <c r="D74" s="1" t="s">
        <v>134</v>
      </c>
      <c r="E74" s="1">
        <v>50.25</v>
      </c>
      <c r="F74" s="3">
        <v>45322</v>
      </c>
      <c r="G74" s="1">
        <v>9.2999999999999999E-2</v>
      </c>
      <c r="H74" s="1" t="str">
        <f>("30662671064074")</f>
        <v>30662671064074</v>
      </c>
      <c r="I74" s="1">
        <v>25</v>
      </c>
      <c r="J74" s="1">
        <v>1800</v>
      </c>
    </row>
    <row r="75" spans="1:10" x14ac:dyDescent="0.3">
      <c r="A75" s="1" t="s">
        <v>10</v>
      </c>
      <c r="B75" s="1" t="str">
        <f>("662671064127")</f>
        <v>662671064127</v>
      </c>
      <c r="C75" s="1" t="s">
        <v>135</v>
      </c>
      <c r="D75" s="1" t="s">
        <v>136</v>
      </c>
      <c r="E75" s="1">
        <v>31.13</v>
      </c>
      <c r="F75" s="3">
        <v>45322</v>
      </c>
      <c r="G75" s="1">
        <v>0.105</v>
      </c>
      <c r="H75" s="1" t="str">
        <f>("10662671064124")</f>
        <v>10662671064124</v>
      </c>
      <c r="I75" s="1">
        <v>32</v>
      </c>
      <c r="J75" s="1">
        <v>2304</v>
      </c>
    </row>
    <row r="76" spans="1:10" x14ac:dyDescent="0.3">
      <c r="A76" s="1" t="s">
        <v>10</v>
      </c>
      <c r="B76" s="1" t="str">
        <f>("662671064141")</f>
        <v>662671064141</v>
      </c>
      <c r="C76" s="1" t="s">
        <v>137</v>
      </c>
      <c r="D76" s="1" t="s">
        <v>138</v>
      </c>
      <c r="E76" s="1">
        <v>32.69</v>
      </c>
      <c r="F76" s="3">
        <v>45322</v>
      </c>
      <c r="G76" s="1">
        <v>9.4E-2</v>
      </c>
      <c r="H76" s="1" t="str">
        <f>("10662671064148")</f>
        <v>10662671064148</v>
      </c>
      <c r="I76" s="1">
        <v>32</v>
      </c>
      <c r="J76" s="1">
        <v>2304</v>
      </c>
    </row>
    <row r="77" spans="1:10" x14ac:dyDescent="0.3">
      <c r="A77" s="1" t="s">
        <v>10</v>
      </c>
      <c r="B77" s="1" t="str">
        <f>("662671064158")</f>
        <v>662671064158</v>
      </c>
      <c r="C77" s="1" t="s">
        <v>139</v>
      </c>
      <c r="D77" s="1" t="s">
        <v>140</v>
      </c>
      <c r="E77" s="1">
        <v>37.83</v>
      </c>
      <c r="F77" s="3">
        <v>45322</v>
      </c>
      <c r="G77" s="1">
        <v>9.8000000000000004E-2</v>
      </c>
      <c r="H77" s="1" t="str">
        <f>("10662671064155")</f>
        <v>10662671064155</v>
      </c>
      <c r="I77" s="1">
        <v>32</v>
      </c>
      <c r="J77" s="1">
        <v>2304</v>
      </c>
    </row>
    <row r="78" spans="1:10" x14ac:dyDescent="0.3">
      <c r="A78" s="1" t="s">
        <v>10</v>
      </c>
      <c r="B78" s="1" t="str">
        <f>("662671700100")</f>
        <v>662671700100</v>
      </c>
      <c r="C78" s="1" t="s">
        <v>141</v>
      </c>
      <c r="D78" s="1" t="s">
        <v>142</v>
      </c>
      <c r="E78" s="1">
        <v>21.55</v>
      </c>
      <c r="F78" s="3">
        <v>45322</v>
      </c>
      <c r="G78" s="1">
        <v>0.04</v>
      </c>
      <c r="H78" s="1" t="str">
        <f>("10662671700107")</f>
        <v>10662671700107</v>
      </c>
      <c r="I78" s="1">
        <v>100</v>
      </c>
      <c r="J78" s="1">
        <v>7200</v>
      </c>
    </row>
    <row r="79" spans="1:10" x14ac:dyDescent="0.3">
      <c r="A79" s="1" t="s">
        <v>10</v>
      </c>
      <c r="B79" s="1" t="str">
        <f>("662671070128")</f>
        <v>662671070128</v>
      </c>
      <c r="C79" s="1" t="s">
        <v>143</v>
      </c>
      <c r="D79" s="1" t="s">
        <v>144</v>
      </c>
      <c r="E79" s="1">
        <v>55.22</v>
      </c>
      <c r="F79" s="3">
        <v>45322</v>
      </c>
      <c r="G79" s="1">
        <v>0.02</v>
      </c>
      <c r="H79" s="1" t="str">
        <f>("10662671070125")</f>
        <v>10662671070125</v>
      </c>
      <c r="I79" s="1">
        <v>200</v>
      </c>
      <c r="J79" s="1">
        <v>35000</v>
      </c>
    </row>
    <row r="80" spans="1:10" x14ac:dyDescent="0.3">
      <c r="A80" s="1" t="s">
        <v>10</v>
      </c>
      <c r="B80" s="1" t="str">
        <f>("662671033369")</f>
        <v>662671033369</v>
      </c>
      <c r="C80" s="1" t="s">
        <v>145</v>
      </c>
      <c r="D80" s="1" t="s">
        <v>146</v>
      </c>
      <c r="E80" s="1">
        <v>12.77</v>
      </c>
      <c r="F80" s="3">
        <v>45322</v>
      </c>
      <c r="G80" s="1">
        <v>1.7000000000000001E-2</v>
      </c>
      <c r="H80" s="1" t="str">
        <f>("10662671033366")</f>
        <v>10662671033366</v>
      </c>
      <c r="I80" s="1">
        <v>400</v>
      </c>
    </row>
    <row r="81" spans="1:10" x14ac:dyDescent="0.3">
      <c r="A81" s="1" t="s">
        <v>10</v>
      </c>
      <c r="B81" s="1" t="str">
        <f>("662671701657")</f>
        <v>662671701657</v>
      </c>
      <c r="C81" s="1" t="s">
        <v>147</v>
      </c>
      <c r="D81" s="1" t="s">
        <v>148</v>
      </c>
      <c r="E81" s="1">
        <v>37.049999999999997</v>
      </c>
      <c r="F81" s="3">
        <v>45322</v>
      </c>
      <c r="G81" s="1">
        <v>7.0000000000000007E-2</v>
      </c>
      <c r="H81" s="1" t="str">
        <f>("10662671701654")</f>
        <v>10662671701654</v>
      </c>
      <c r="I81" s="1">
        <v>100</v>
      </c>
      <c r="J81" s="1">
        <v>4800</v>
      </c>
    </row>
    <row r="82" spans="1:10" x14ac:dyDescent="0.3">
      <c r="A82" s="1" t="s">
        <v>10</v>
      </c>
      <c r="B82" s="1" t="str">
        <f>("662671700131")</f>
        <v>662671700131</v>
      </c>
      <c r="C82" s="1" t="s">
        <v>149</v>
      </c>
      <c r="D82" s="1" t="s">
        <v>150</v>
      </c>
      <c r="E82" s="1">
        <v>35.11</v>
      </c>
      <c r="F82" s="3">
        <v>45322</v>
      </c>
      <c r="G82" s="1">
        <v>0.06</v>
      </c>
      <c r="H82" s="1" t="str">
        <f>("10662671700138")</f>
        <v>10662671700138</v>
      </c>
      <c r="I82" s="1">
        <v>100</v>
      </c>
      <c r="J82" s="1">
        <v>4800</v>
      </c>
    </row>
    <row r="83" spans="1:10" x14ac:dyDescent="0.3">
      <c r="A83" s="1" t="s">
        <v>10</v>
      </c>
      <c r="B83" s="1" t="str">
        <f>("662671701268")</f>
        <v>662671701268</v>
      </c>
      <c r="C83" s="1" t="s">
        <v>151</v>
      </c>
      <c r="D83" s="1" t="s">
        <v>152</v>
      </c>
      <c r="E83" s="1">
        <v>26.11</v>
      </c>
      <c r="F83" s="3">
        <v>45322</v>
      </c>
      <c r="G83" s="1">
        <v>5.0999999999999997E-2</v>
      </c>
      <c r="H83" s="1" t="str">
        <f>("10662671701265")</f>
        <v>10662671701265</v>
      </c>
      <c r="I83" s="1">
        <v>100</v>
      </c>
      <c r="J83" s="1">
        <v>7200</v>
      </c>
    </row>
    <row r="84" spans="1:10" x14ac:dyDescent="0.3">
      <c r="A84" s="1" t="s">
        <v>10</v>
      </c>
      <c r="B84" s="1" t="str">
        <f>("662671701138")</f>
        <v>662671701138</v>
      </c>
      <c r="C84" s="1" t="s">
        <v>153</v>
      </c>
      <c r="D84" s="1" t="s">
        <v>154</v>
      </c>
      <c r="E84" s="1">
        <v>24.45</v>
      </c>
      <c r="F84" s="3">
        <v>45322</v>
      </c>
      <c r="G84" s="1">
        <v>6.5000000000000002E-2</v>
      </c>
      <c r="H84" s="1" t="str">
        <f>("10662671701135")</f>
        <v>10662671701135</v>
      </c>
      <c r="I84" s="1">
        <v>100</v>
      </c>
      <c r="J84" s="1">
        <v>7200</v>
      </c>
    </row>
    <row r="85" spans="1:10" x14ac:dyDescent="0.3">
      <c r="A85" s="1" t="s">
        <v>10</v>
      </c>
      <c r="B85" s="1" t="str">
        <f>("662671701305")</f>
        <v>662671701305</v>
      </c>
      <c r="C85" s="1" t="s">
        <v>155</v>
      </c>
      <c r="D85" s="1" t="s">
        <v>156</v>
      </c>
      <c r="E85" s="1">
        <v>6.29</v>
      </c>
      <c r="F85" s="3">
        <v>45322</v>
      </c>
      <c r="G85" s="1">
        <v>1.6E-2</v>
      </c>
      <c r="H85" s="1" t="str">
        <f>("10662671701302")</f>
        <v>10662671701302</v>
      </c>
      <c r="I85" s="1">
        <v>165</v>
      </c>
      <c r="J85" s="1">
        <v>11880</v>
      </c>
    </row>
    <row r="86" spans="1:10" x14ac:dyDescent="0.3">
      <c r="A86" s="1" t="s">
        <v>10</v>
      </c>
      <c r="B86" s="1" t="str">
        <f>("662671701183")</f>
        <v>662671701183</v>
      </c>
      <c r="C86" s="1" t="s">
        <v>157</v>
      </c>
      <c r="D86" s="1" t="s">
        <v>158</v>
      </c>
      <c r="E86" s="1">
        <v>9.9700000000000006</v>
      </c>
      <c r="F86" s="3">
        <v>45322</v>
      </c>
      <c r="G86" s="1">
        <v>2.1999999999999999E-2</v>
      </c>
      <c r="H86" s="1" t="str">
        <f>("10662671701180")</f>
        <v>10662671701180</v>
      </c>
      <c r="I86" s="1">
        <v>150</v>
      </c>
      <c r="J86" s="1">
        <v>10800</v>
      </c>
    </row>
    <row r="87" spans="1:10" x14ac:dyDescent="0.3">
      <c r="A87" s="1" t="s">
        <v>10</v>
      </c>
      <c r="B87" s="1" t="str">
        <f>("662671702319")</f>
        <v>662671702319</v>
      </c>
      <c r="C87" s="1" t="s">
        <v>159</v>
      </c>
      <c r="D87" s="1" t="s">
        <v>160</v>
      </c>
      <c r="E87" s="1">
        <v>10.02</v>
      </c>
      <c r="F87" s="3">
        <v>45322</v>
      </c>
      <c r="G87" s="1">
        <v>2.1999999999999999E-2</v>
      </c>
      <c r="H87" s="1" t="str">
        <f>("10662671702316")</f>
        <v>10662671702316</v>
      </c>
      <c r="I87" s="1">
        <v>150</v>
      </c>
      <c r="J87" s="1">
        <v>10800</v>
      </c>
    </row>
    <row r="88" spans="1:10" x14ac:dyDescent="0.3">
      <c r="A88" s="1" t="s">
        <v>10</v>
      </c>
      <c r="B88" s="1" t="str">
        <f>("662671700469")</f>
        <v>662671700469</v>
      </c>
      <c r="C88" s="1" t="s">
        <v>161</v>
      </c>
      <c r="D88" s="1" t="s">
        <v>162</v>
      </c>
      <c r="E88" s="1">
        <v>10.01</v>
      </c>
      <c r="F88" s="3">
        <v>45322</v>
      </c>
      <c r="G88" s="1">
        <v>0.03</v>
      </c>
      <c r="H88" s="1" t="str">
        <f>("10662671700466")</f>
        <v>10662671700466</v>
      </c>
      <c r="I88" s="1">
        <v>150</v>
      </c>
      <c r="J88" s="1">
        <v>10800</v>
      </c>
    </row>
    <row r="89" spans="1:10" x14ac:dyDescent="0.3">
      <c r="A89" s="1" t="s">
        <v>10</v>
      </c>
      <c r="B89" s="1" t="str">
        <f>("662671701190")</f>
        <v>662671701190</v>
      </c>
      <c r="C89" s="1" t="s">
        <v>163</v>
      </c>
      <c r="D89" s="1" t="s">
        <v>164</v>
      </c>
      <c r="E89" s="1">
        <v>23.23</v>
      </c>
      <c r="F89" s="3">
        <v>45322</v>
      </c>
      <c r="G89" s="1">
        <v>8.6999999999999994E-2</v>
      </c>
      <c r="H89" s="1" t="str">
        <f>("10662671701197")</f>
        <v>10662671701197</v>
      </c>
      <c r="I89" s="1">
        <v>32</v>
      </c>
      <c r="J89" s="1">
        <v>2304</v>
      </c>
    </row>
    <row r="90" spans="1:10" x14ac:dyDescent="0.3">
      <c r="A90" s="1" t="s">
        <v>10</v>
      </c>
      <c r="B90" s="1" t="str">
        <f>("662671700957")</f>
        <v>662671700957</v>
      </c>
      <c r="C90" s="1" t="s">
        <v>165</v>
      </c>
      <c r="D90" s="1" t="s">
        <v>166</v>
      </c>
      <c r="E90" s="1">
        <v>23.23</v>
      </c>
      <c r="F90" s="3">
        <v>45322</v>
      </c>
      <c r="G90" s="1">
        <v>8.6999999999999994E-2</v>
      </c>
      <c r="H90" s="1" t="str">
        <f>("10662671700954")</f>
        <v>10662671700954</v>
      </c>
      <c r="I90" s="1">
        <v>32</v>
      </c>
      <c r="J90" s="1">
        <v>2304</v>
      </c>
    </row>
    <row r="91" spans="1:10" x14ac:dyDescent="0.3">
      <c r="A91" s="1" t="s">
        <v>10</v>
      </c>
      <c r="B91" s="1" t="str">
        <f>("662671700346")</f>
        <v>662671700346</v>
      </c>
      <c r="C91" s="1" t="s">
        <v>167</v>
      </c>
      <c r="D91" s="1" t="s">
        <v>168</v>
      </c>
      <c r="E91" s="1">
        <v>21.65</v>
      </c>
      <c r="F91" s="3">
        <v>45322</v>
      </c>
      <c r="G91" s="1">
        <v>0.105</v>
      </c>
      <c r="H91" s="1" t="str">
        <f>("10662671700343")</f>
        <v>10662671700343</v>
      </c>
      <c r="I91" s="1">
        <v>32</v>
      </c>
      <c r="J91" s="1">
        <v>2304</v>
      </c>
    </row>
    <row r="92" spans="1:10" x14ac:dyDescent="0.3">
      <c r="A92" s="1" t="s">
        <v>10</v>
      </c>
      <c r="B92" s="1" t="str">
        <f>("662671701749")</f>
        <v>662671701749</v>
      </c>
      <c r="C92" s="1" t="s">
        <v>169</v>
      </c>
      <c r="D92" s="1" t="s">
        <v>170</v>
      </c>
      <c r="E92" s="1">
        <v>24.81</v>
      </c>
      <c r="F92" s="3">
        <v>45322</v>
      </c>
      <c r="G92" s="1">
        <v>0.114</v>
      </c>
      <c r="H92" s="1" t="str">
        <f>("30662671701740")</f>
        <v>30662671701740</v>
      </c>
      <c r="I92" s="1">
        <v>24</v>
      </c>
      <c r="J92" s="1">
        <v>1536</v>
      </c>
    </row>
    <row r="93" spans="1:10" x14ac:dyDescent="0.3">
      <c r="A93" s="1" t="s">
        <v>10</v>
      </c>
      <c r="B93" s="1" t="str">
        <f>("662671701213")</f>
        <v>662671701213</v>
      </c>
      <c r="C93" s="1" t="s">
        <v>171</v>
      </c>
      <c r="D93" s="1" t="s">
        <v>172</v>
      </c>
      <c r="E93" s="1">
        <v>24.86</v>
      </c>
      <c r="F93" s="3">
        <v>45322</v>
      </c>
      <c r="G93" s="1">
        <v>6.7000000000000004E-2</v>
      </c>
      <c r="H93" s="1" t="str">
        <f>("10662671701210")</f>
        <v>10662671701210</v>
      </c>
      <c r="I93" s="1">
        <v>48</v>
      </c>
      <c r="J93" s="1">
        <v>3456</v>
      </c>
    </row>
    <row r="94" spans="1:10" x14ac:dyDescent="0.3">
      <c r="A94" s="1" t="s">
        <v>10</v>
      </c>
      <c r="B94" s="1" t="str">
        <f>("662671701176")</f>
        <v>662671701176</v>
      </c>
      <c r="C94" s="1" t="s">
        <v>173</v>
      </c>
      <c r="D94" s="1" t="s">
        <v>174</v>
      </c>
      <c r="E94" s="1">
        <v>24.86</v>
      </c>
      <c r="F94" s="3">
        <v>45322</v>
      </c>
      <c r="G94" s="1">
        <v>6.7000000000000004E-2</v>
      </c>
      <c r="H94" s="1" t="str">
        <f>("10662671701173")</f>
        <v>10662671701173</v>
      </c>
      <c r="I94" s="1">
        <v>48</v>
      </c>
      <c r="J94" s="1">
        <v>3456</v>
      </c>
    </row>
    <row r="95" spans="1:10" x14ac:dyDescent="0.3">
      <c r="A95" s="1" t="s">
        <v>10</v>
      </c>
      <c r="B95" s="1" t="str">
        <f>("662671701169")</f>
        <v>662671701169</v>
      </c>
      <c r="C95" s="1" t="s">
        <v>175</v>
      </c>
      <c r="D95" s="1" t="s">
        <v>176</v>
      </c>
      <c r="E95" s="1">
        <v>23.8</v>
      </c>
      <c r="F95" s="3">
        <v>45322</v>
      </c>
      <c r="G95" s="1">
        <v>6.7000000000000004E-2</v>
      </c>
      <c r="H95" s="1" t="str">
        <f>("10662671701166")</f>
        <v>10662671701166</v>
      </c>
      <c r="I95" s="1">
        <v>48</v>
      </c>
      <c r="J95" s="1">
        <v>3456</v>
      </c>
    </row>
    <row r="96" spans="1:10" x14ac:dyDescent="0.3">
      <c r="A96" s="1" t="s">
        <v>10</v>
      </c>
      <c r="B96" s="1" t="str">
        <f>("662671057228")</f>
        <v>662671057228</v>
      </c>
      <c r="C96" s="1" t="s">
        <v>177</v>
      </c>
      <c r="D96" s="1" t="s">
        <v>178</v>
      </c>
      <c r="E96" s="1">
        <v>26.39</v>
      </c>
      <c r="F96" s="3">
        <v>45322</v>
      </c>
      <c r="G96" s="1">
        <v>0.114</v>
      </c>
      <c r="H96" s="1" t="str">
        <f>("10662671057225")</f>
        <v>10662671057225</v>
      </c>
      <c r="I96" s="1">
        <v>24</v>
      </c>
      <c r="J96" s="1">
        <v>1536</v>
      </c>
    </row>
    <row r="97" spans="1:10" x14ac:dyDescent="0.3">
      <c r="A97" s="1" t="s">
        <v>10</v>
      </c>
      <c r="B97" s="1" t="str">
        <f>("662671035028")</f>
        <v>662671035028</v>
      </c>
      <c r="C97" s="1" t="s">
        <v>179</v>
      </c>
      <c r="D97" s="1" t="s">
        <v>180</v>
      </c>
      <c r="E97" s="1">
        <v>4.72</v>
      </c>
      <c r="F97" s="3">
        <v>45322</v>
      </c>
      <c r="G97" s="1">
        <v>4.4999999999999998E-2</v>
      </c>
      <c r="H97" s="1" t="str">
        <f>("20662671035022")</f>
        <v>20662671035022</v>
      </c>
      <c r="I97" s="1">
        <v>75</v>
      </c>
      <c r="J97" s="1">
        <v>3600</v>
      </c>
    </row>
    <row r="98" spans="1:10" x14ac:dyDescent="0.3">
      <c r="A98" s="1" t="s">
        <v>10</v>
      </c>
      <c r="B98" s="1" t="str">
        <f>("662671069900")</f>
        <v>662671069900</v>
      </c>
      <c r="C98" s="1">
        <v>794500</v>
      </c>
      <c r="D98" s="1" t="s">
        <v>181</v>
      </c>
      <c r="E98" s="1">
        <v>667.8</v>
      </c>
      <c r="F98" s="3">
        <v>45322</v>
      </c>
      <c r="G98" s="1">
        <v>0.33</v>
      </c>
      <c r="H98" s="1" t="str">
        <f>("00662671069900")</f>
        <v>00662671069900</v>
      </c>
      <c r="I98" s="1">
        <v>1</v>
      </c>
    </row>
    <row r="99" spans="1:10" x14ac:dyDescent="0.3">
      <c r="A99" s="1" t="s">
        <v>10</v>
      </c>
      <c r="B99" s="1" t="str">
        <f>("662671069917")</f>
        <v>662671069917</v>
      </c>
      <c r="C99" s="1">
        <v>794501</v>
      </c>
      <c r="D99" s="1" t="s">
        <v>182</v>
      </c>
      <c r="E99" s="1">
        <v>204.44</v>
      </c>
      <c r="F99" s="3">
        <v>45322</v>
      </c>
      <c r="G99" s="1">
        <v>8.0000000000000002E-3</v>
      </c>
      <c r="H99" s="1" t="str">
        <f>("00662671069917")</f>
        <v>00662671069917</v>
      </c>
      <c r="I99" s="1">
        <v>1</v>
      </c>
    </row>
    <row r="100" spans="1:10" x14ac:dyDescent="0.3">
      <c r="A100" s="1" t="s">
        <v>10</v>
      </c>
      <c r="B100" s="1" t="str">
        <f>("662671071675")</f>
        <v>662671071675</v>
      </c>
      <c r="C100" s="1" t="s">
        <v>183</v>
      </c>
      <c r="D100" s="1" t="s">
        <v>184</v>
      </c>
      <c r="E100" s="1">
        <v>90.39</v>
      </c>
      <c r="F100" s="3">
        <v>45322</v>
      </c>
      <c r="G100" s="1">
        <v>0.25800000000000001</v>
      </c>
      <c r="H100" s="1" t="str">
        <f>("10662671071672")</f>
        <v>10662671071672</v>
      </c>
      <c r="I100" s="1">
        <v>10</v>
      </c>
      <c r="J100" s="1">
        <v>640</v>
      </c>
    </row>
    <row r="101" spans="1:10" x14ac:dyDescent="0.3">
      <c r="A101" s="1" t="s">
        <v>10</v>
      </c>
      <c r="B101" s="1" t="str">
        <f>("662671071699")</f>
        <v>662671071699</v>
      </c>
      <c r="C101" s="1" t="s">
        <v>185</v>
      </c>
      <c r="D101" s="1" t="s">
        <v>186</v>
      </c>
      <c r="E101" s="1">
        <v>90.39</v>
      </c>
      <c r="F101" s="3">
        <v>45322</v>
      </c>
      <c r="G101" s="1">
        <v>0.25800000000000001</v>
      </c>
      <c r="H101" s="1" t="str">
        <f>("10662671071696")</f>
        <v>10662671071696</v>
      </c>
      <c r="I101" s="1">
        <v>10</v>
      </c>
      <c r="J101" s="1">
        <v>640</v>
      </c>
    </row>
    <row r="102" spans="1:10" x14ac:dyDescent="0.3">
      <c r="A102" s="1" t="s">
        <v>10</v>
      </c>
      <c r="B102" s="1" t="str">
        <f>("662671071682")</f>
        <v>662671071682</v>
      </c>
      <c r="C102" s="1" t="s">
        <v>187</v>
      </c>
      <c r="D102" s="1" t="s">
        <v>188</v>
      </c>
      <c r="E102" s="1">
        <v>90.39</v>
      </c>
      <c r="F102" s="3">
        <v>45322</v>
      </c>
      <c r="G102" s="1">
        <v>0.26600000000000001</v>
      </c>
      <c r="H102" s="1" t="str">
        <f>("10662671071689")</f>
        <v>10662671071689</v>
      </c>
      <c r="I102" s="1">
        <v>10</v>
      </c>
      <c r="J102" s="1">
        <v>640</v>
      </c>
    </row>
    <row r="103" spans="1:10" x14ac:dyDescent="0.3">
      <c r="A103" s="1" t="s">
        <v>10</v>
      </c>
      <c r="B103" s="1" t="str">
        <f>("662671071705")</f>
        <v>662671071705</v>
      </c>
      <c r="C103" s="1" t="s">
        <v>189</v>
      </c>
      <c r="D103" s="1" t="s">
        <v>190</v>
      </c>
      <c r="E103" s="1">
        <v>91.91</v>
      </c>
      <c r="F103" s="3">
        <v>45322</v>
      </c>
      <c r="G103" s="1">
        <v>0.27400000000000002</v>
      </c>
      <c r="H103" s="1" t="str">
        <f>("10662671071702")</f>
        <v>10662671071702</v>
      </c>
      <c r="I103" s="1">
        <v>10</v>
      </c>
      <c r="J103" s="1">
        <v>640</v>
      </c>
    </row>
    <row r="104" spans="1:10" x14ac:dyDescent="0.3">
      <c r="A104" s="1" t="s">
        <v>10</v>
      </c>
      <c r="B104" s="1" t="str">
        <f>("662671071712")</f>
        <v>662671071712</v>
      </c>
      <c r="C104" s="1" t="s">
        <v>191</v>
      </c>
      <c r="D104" s="1" t="s">
        <v>192</v>
      </c>
      <c r="E104" s="1">
        <v>95.91</v>
      </c>
      <c r="F104" s="3">
        <v>45322</v>
      </c>
      <c r="G104" s="1">
        <v>0.27300000000000002</v>
      </c>
      <c r="H104" s="1" t="str">
        <f>("10662671071719")</f>
        <v>10662671071719</v>
      </c>
      <c r="I104" s="1">
        <v>10</v>
      </c>
      <c r="J104" s="1">
        <v>640</v>
      </c>
    </row>
    <row r="105" spans="1:10" x14ac:dyDescent="0.3">
      <c r="A105" s="1" t="s">
        <v>10</v>
      </c>
      <c r="B105" s="1" t="str">
        <f>("662671071729")</f>
        <v>662671071729</v>
      </c>
      <c r="C105" s="1" t="s">
        <v>193</v>
      </c>
      <c r="D105" s="1" t="s">
        <v>194</v>
      </c>
      <c r="E105" s="1">
        <v>97.43</v>
      </c>
      <c r="F105" s="3">
        <v>45322</v>
      </c>
      <c r="G105" s="1">
        <v>0.29899999999999999</v>
      </c>
      <c r="H105" s="1" t="str">
        <f>("10662671071726")</f>
        <v>10662671071726</v>
      </c>
      <c r="I105" s="1">
        <v>10</v>
      </c>
      <c r="J105" s="1">
        <v>640</v>
      </c>
    </row>
    <row r="106" spans="1:10" x14ac:dyDescent="0.3">
      <c r="A106" s="1" t="s">
        <v>10</v>
      </c>
      <c r="B106" s="1" t="str">
        <f>("662671075000")</f>
        <v>662671075000</v>
      </c>
      <c r="C106" s="1" t="s">
        <v>195</v>
      </c>
      <c r="D106" s="1" t="s">
        <v>196</v>
      </c>
      <c r="E106" s="1">
        <v>5.31</v>
      </c>
      <c r="F106" s="3">
        <v>45322</v>
      </c>
      <c r="G106" s="1">
        <v>4.9000000000000002E-2</v>
      </c>
      <c r="H106" s="1" t="str">
        <f>("20662671075004")</f>
        <v>20662671075004</v>
      </c>
      <c r="I106" s="1">
        <v>75</v>
      </c>
      <c r="J106" s="1">
        <v>3600</v>
      </c>
    </row>
    <row r="107" spans="1:10" x14ac:dyDescent="0.3">
      <c r="A107" s="1" t="s">
        <v>10</v>
      </c>
      <c r="B107" s="1" t="str">
        <f>("662671074997")</f>
        <v>662671074997</v>
      </c>
      <c r="C107" s="1" t="s">
        <v>197</v>
      </c>
      <c r="D107" s="1" t="s">
        <v>198</v>
      </c>
      <c r="E107" s="1">
        <v>6.46</v>
      </c>
      <c r="F107" s="3">
        <v>45322</v>
      </c>
      <c r="G107" s="1">
        <v>2.5000000000000001E-2</v>
      </c>
      <c r="H107" s="1" t="str">
        <f>("10662671074994")</f>
        <v>10662671074994</v>
      </c>
      <c r="I107" s="1">
        <v>80</v>
      </c>
      <c r="J107" s="1">
        <v>15360</v>
      </c>
    </row>
    <row r="108" spans="1:10" x14ac:dyDescent="0.3">
      <c r="A108" s="1" t="s">
        <v>10</v>
      </c>
      <c r="B108" s="1" t="str">
        <f>("662671075017")</f>
        <v>662671075017</v>
      </c>
      <c r="C108" s="1" t="s">
        <v>199</v>
      </c>
      <c r="D108" s="1" t="s">
        <v>200</v>
      </c>
      <c r="E108" s="1">
        <v>6.01</v>
      </c>
      <c r="F108" s="3">
        <v>45322</v>
      </c>
      <c r="G108" s="1">
        <v>2.5000000000000001E-2</v>
      </c>
      <c r="H108" s="1" t="str">
        <f>("10662671075014")</f>
        <v>10662671075014</v>
      </c>
      <c r="I108" s="1">
        <v>80</v>
      </c>
      <c r="J108" s="1">
        <v>15360</v>
      </c>
    </row>
    <row r="109" spans="1:10" x14ac:dyDescent="0.3">
      <c r="A109" s="1" t="s">
        <v>10</v>
      </c>
      <c r="B109" s="1" t="str">
        <f>("662671075024")</f>
        <v>662671075024</v>
      </c>
      <c r="C109" s="1" t="s">
        <v>201</v>
      </c>
      <c r="D109" s="1" t="s">
        <v>202</v>
      </c>
      <c r="E109" s="1">
        <v>11</v>
      </c>
      <c r="F109" s="3">
        <v>45322</v>
      </c>
      <c r="G109" s="1">
        <v>6.5000000000000002E-2</v>
      </c>
      <c r="H109" s="1" t="str">
        <f>("10662671075021")</f>
        <v>10662671075021</v>
      </c>
      <c r="I109" s="1">
        <v>40</v>
      </c>
      <c r="J109" s="1">
        <v>2560</v>
      </c>
    </row>
    <row r="110" spans="1:10" x14ac:dyDescent="0.3">
      <c r="A110" s="1" t="s">
        <v>10</v>
      </c>
      <c r="B110" s="1" t="str">
        <f>("662671074959")</f>
        <v>662671074959</v>
      </c>
      <c r="C110" s="1" t="s">
        <v>203</v>
      </c>
      <c r="D110" s="1" t="s">
        <v>204</v>
      </c>
      <c r="E110" s="1">
        <v>32.14</v>
      </c>
      <c r="F110" s="3">
        <v>45322</v>
      </c>
      <c r="G110" s="1">
        <v>0.128</v>
      </c>
      <c r="H110" s="1" t="str">
        <f>("10662671074956")</f>
        <v>10662671074956</v>
      </c>
      <c r="I110" s="1">
        <v>24</v>
      </c>
      <c r="J110" s="1">
        <v>1536</v>
      </c>
    </row>
    <row r="111" spans="1:10" x14ac:dyDescent="0.3">
      <c r="A111" s="1" t="s">
        <v>10</v>
      </c>
      <c r="B111" s="1" t="str">
        <f>("662671074966")</f>
        <v>662671074966</v>
      </c>
      <c r="C111" s="1" t="s">
        <v>205</v>
      </c>
      <c r="D111" s="1" t="s">
        <v>206</v>
      </c>
      <c r="E111" s="1">
        <v>30.64</v>
      </c>
      <c r="F111" s="3">
        <v>45322</v>
      </c>
      <c r="G111" s="1">
        <v>0.128</v>
      </c>
      <c r="H111" s="1" t="str">
        <f>("10662671074963")</f>
        <v>10662671074963</v>
      </c>
      <c r="I111" s="1">
        <v>24</v>
      </c>
      <c r="J111" s="1">
        <v>1536</v>
      </c>
    </row>
    <row r="112" spans="1:10" x14ac:dyDescent="0.3">
      <c r="A112" s="1" t="s">
        <v>10</v>
      </c>
      <c r="B112" s="1" t="str">
        <f>("662671074973")</f>
        <v>662671074973</v>
      </c>
      <c r="C112" s="1" t="s">
        <v>207</v>
      </c>
      <c r="D112" s="1" t="s">
        <v>208</v>
      </c>
      <c r="E112" s="1">
        <v>32.14</v>
      </c>
      <c r="F112" s="3">
        <v>45322</v>
      </c>
      <c r="G112" s="1">
        <v>9.0999999999999998E-2</v>
      </c>
      <c r="H112" s="1" t="str">
        <f>("10662671074970")</f>
        <v>10662671074970</v>
      </c>
      <c r="I112" s="1">
        <v>24</v>
      </c>
      <c r="J112" s="1">
        <v>1536</v>
      </c>
    </row>
    <row r="113" spans="1:10" x14ac:dyDescent="0.3">
      <c r="A113" s="1" t="s">
        <v>10</v>
      </c>
      <c r="B113" s="1" t="str">
        <f>("662671074980")</f>
        <v>662671074980</v>
      </c>
      <c r="C113" s="1" t="s">
        <v>209</v>
      </c>
      <c r="D113" s="1" t="s">
        <v>210</v>
      </c>
      <c r="E113" s="1">
        <v>30.64</v>
      </c>
      <c r="F113" s="3">
        <v>45322</v>
      </c>
      <c r="G113" s="1">
        <v>9.0999999999999998E-2</v>
      </c>
      <c r="H113" s="1" t="str">
        <f>("10662671074987")</f>
        <v>10662671074987</v>
      </c>
      <c r="I113" s="1">
        <v>24</v>
      </c>
      <c r="J113" s="1">
        <v>1536</v>
      </c>
    </row>
    <row r="114" spans="1:10" x14ac:dyDescent="0.3">
      <c r="A114" s="1" t="s">
        <v>10</v>
      </c>
      <c r="B114" s="1" t="str">
        <f>("662671036469")</f>
        <v>662671036469</v>
      </c>
      <c r="C114" s="1" t="s">
        <v>211</v>
      </c>
      <c r="D114" s="1" t="s">
        <v>212</v>
      </c>
      <c r="E114" s="1">
        <v>5.15</v>
      </c>
      <c r="F114" s="3">
        <v>45322</v>
      </c>
      <c r="G114" s="1">
        <v>2.1000000000000001E-2</v>
      </c>
      <c r="H114" s="1" t="str">
        <f>("10662671036466")</f>
        <v>10662671036466</v>
      </c>
      <c r="I114" s="1">
        <v>40</v>
      </c>
      <c r="J114" s="1">
        <v>7680</v>
      </c>
    </row>
    <row r="115" spans="1:10" x14ac:dyDescent="0.3">
      <c r="A115" s="1" t="s">
        <v>10</v>
      </c>
      <c r="B115" s="1" t="str">
        <f>("662671057259")</f>
        <v>662671057259</v>
      </c>
      <c r="C115" s="1" t="s">
        <v>213</v>
      </c>
      <c r="D115" s="1" t="s">
        <v>214</v>
      </c>
      <c r="E115" s="1">
        <v>26.11</v>
      </c>
      <c r="F115" s="3">
        <v>45322</v>
      </c>
      <c r="G115" s="1">
        <v>8.3000000000000004E-2</v>
      </c>
      <c r="H115" s="1" t="str">
        <f>("10662671057256")</f>
        <v>10662671057256</v>
      </c>
      <c r="I115" s="1">
        <v>24</v>
      </c>
      <c r="J115" s="1">
        <v>1536</v>
      </c>
    </row>
    <row r="116" spans="1:10" x14ac:dyDescent="0.3">
      <c r="A116" s="1" t="s">
        <v>10</v>
      </c>
      <c r="B116" s="1" t="str">
        <f>("662671057273")</f>
        <v>662671057273</v>
      </c>
      <c r="C116" s="1" t="s">
        <v>215</v>
      </c>
      <c r="D116" s="1" t="s">
        <v>216</v>
      </c>
      <c r="E116" s="1">
        <v>27.62</v>
      </c>
      <c r="F116" s="3">
        <v>45322</v>
      </c>
      <c r="G116" s="1">
        <v>8.3000000000000004E-2</v>
      </c>
      <c r="H116" s="1" t="str">
        <f>("10662671057270")</f>
        <v>10662671057270</v>
      </c>
      <c r="I116" s="1">
        <v>24</v>
      </c>
      <c r="J116" s="1">
        <v>1536</v>
      </c>
    </row>
    <row r="117" spans="1:10" x14ac:dyDescent="0.3">
      <c r="A117" s="1" t="s">
        <v>10</v>
      </c>
      <c r="B117" s="1" t="str">
        <f>("662671050427")</f>
        <v>662671050427</v>
      </c>
      <c r="C117" s="1">
        <v>82950010</v>
      </c>
      <c r="D117" s="1" t="s">
        <v>217</v>
      </c>
      <c r="E117" s="1">
        <v>316.97000000000003</v>
      </c>
      <c r="F117" s="3">
        <v>45322</v>
      </c>
      <c r="G117" s="1">
        <v>10.9</v>
      </c>
      <c r="H117" s="1" t="str">
        <f>("00662671050427")</f>
        <v>00662671050427</v>
      </c>
      <c r="I117" s="1">
        <v>1</v>
      </c>
    </row>
    <row r="118" spans="1:10" x14ac:dyDescent="0.3">
      <c r="A118" s="1" t="s">
        <v>10</v>
      </c>
      <c r="B118" s="1" t="str">
        <f>("662671050496")</f>
        <v>662671050496</v>
      </c>
      <c r="C118" s="1">
        <v>8295008</v>
      </c>
      <c r="D118" s="1" t="s">
        <v>218</v>
      </c>
      <c r="E118" s="1">
        <v>243.3</v>
      </c>
      <c r="F118" s="3">
        <v>45322</v>
      </c>
      <c r="G118" s="1">
        <v>8.7200000000000006</v>
      </c>
      <c r="H118" s="1" t="str">
        <f>("00662671050496")</f>
        <v>00662671050496</v>
      </c>
      <c r="I118" s="1">
        <v>1</v>
      </c>
    </row>
    <row r="119" spans="1:10" x14ac:dyDescent="0.3">
      <c r="A119" s="1" t="s">
        <v>10</v>
      </c>
      <c r="B119" s="1" t="str">
        <f>("662671075055")</f>
        <v>662671075055</v>
      </c>
      <c r="C119" s="1">
        <v>829500411</v>
      </c>
      <c r="D119" s="1" t="s">
        <v>219</v>
      </c>
      <c r="E119" s="1">
        <v>165.59</v>
      </c>
      <c r="F119" s="3">
        <v>45322</v>
      </c>
      <c r="G119" s="1">
        <v>5.359</v>
      </c>
      <c r="H119" s="1" t="str">
        <f>("00662671075055")</f>
        <v>00662671075055</v>
      </c>
      <c r="I119" s="1">
        <v>1</v>
      </c>
    </row>
    <row r="120" spans="1:10" x14ac:dyDescent="0.3">
      <c r="A120" s="1" t="s">
        <v>10</v>
      </c>
      <c r="B120" s="1" t="str">
        <f>("662671075031")</f>
        <v>662671075031</v>
      </c>
      <c r="C120" s="1" t="s">
        <v>220</v>
      </c>
      <c r="D120" s="1" t="s">
        <v>221</v>
      </c>
      <c r="E120" s="1">
        <v>364.12</v>
      </c>
      <c r="F120" s="3">
        <v>45322</v>
      </c>
      <c r="G120" s="1">
        <v>10.718</v>
      </c>
      <c r="H120" s="1" t="str">
        <f>("00662671075031")</f>
        <v>00662671075031</v>
      </c>
      <c r="I120" s="1">
        <v>1</v>
      </c>
      <c r="J120" s="1">
        <v>20</v>
      </c>
    </row>
    <row r="121" spans="1:10" x14ac:dyDescent="0.3">
      <c r="A121" s="1" t="s">
        <v>10</v>
      </c>
      <c r="B121" s="1" t="str">
        <f>("662671067487")</f>
        <v>662671067487</v>
      </c>
      <c r="C121" s="1" t="s">
        <v>222</v>
      </c>
      <c r="D121" s="1" t="s">
        <v>223</v>
      </c>
      <c r="E121" s="1">
        <v>84.4</v>
      </c>
      <c r="F121" s="3">
        <v>45322</v>
      </c>
      <c r="G121" s="1">
        <v>0.16500000000000001</v>
      </c>
      <c r="H121" s="1" t="str">
        <f>("20662671067481")</f>
        <v>20662671067481</v>
      </c>
      <c r="I121" s="1">
        <v>20</v>
      </c>
      <c r="J121" s="1">
        <v>720</v>
      </c>
    </row>
    <row r="122" spans="1:10" x14ac:dyDescent="0.3">
      <c r="A122" s="1" t="s">
        <v>10</v>
      </c>
      <c r="B122" s="1" t="str">
        <f>("662671067494")</f>
        <v>662671067494</v>
      </c>
      <c r="C122" s="1" t="s">
        <v>224</v>
      </c>
      <c r="D122" s="1" t="s">
        <v>225</v>
      </c>
      <c r="E122" s="1">
        <v>88.64</v>
      </c>
      <c r="F122" s="3">
        <v>45322</v>
      </c>
      <c r="G122" s="1">
        <v>0.16500000000000001</v>
      </c>
      <c r="H122" s="1" t="str">
        <f>("20662671067498")</f>
        <v>20662671067498</v>
      </c>
      <c r="I122" s="1">
        <v>20</v>
      </c>
      <c r="J122" s="1">
        <v>720</v>
      </c>
    </row>
    <row r="123" spans="1:10" x14ac:dyDescent="0.3">
      <c r="A123" s="1" t="s">
        <v>10</v>
      </c>
      <c r="B123" s="1" t="str">
        <f>("662671069412")</f>
        <v>662671069412</v>
      </c>
      <c r="C123" s="1" t="s">
        <v>226</v>
      </c>
      <c r="D123" s="1" t="s">
        <v>227</v>
      </c>
      <c r="E123" s="1">
        <v>75.8</v>
      </c>
      <c r="F123" s="3">
        <v>45322</v>
      </c>
      <c r="G123" s="1">
        <v>0.40400000000000003</v>
      </c>
      <c r="H123" s="1" t="str">
        <f>("10662671069419")</f>
        <v>10662671069419</v>
      </c>
      <c r="I123" s="1">
        <v>10</v>
      </c>
    </row>
    <row r="124" spans="1:10" x14ac:dyDescent="0.3">
      <c r="A124" s="1" t="s">
        <v>10</v>
      </c>
      <c r="B124" s="1" t="str">
        <f>("662671069429")</f>
        <v>662671069429</v>
      </c>
      <c r="C124" s="1" t="s">
        <v>228</v>
      </c>
      <c r="D124" s="1" t="s">
        <v>229</v>
      </c>
      <c r="E124" s="1">
        <v>88.23</v>
      </c>
      <c r="F124" s="3">
        <v>45322</v>
      </c>
      <c r="G124" s="1">
        <v>0.505</v>
      </c>
      <c r="H124" s="1" t="str">
        <f>("10662671069426")</f>
        <v>10662671069426</v>
      </c>
      <c r="I124" s="1">
        <v>10</v>
      </c>
    </row>
    <row r="125" spans="1:10" x14ac:dyDescent="0.3">
      <c r="A125" s="1" t="s">
        <v>10</v>
      </c>
      <c r="B125" s="1" t="str">
        <f>("662671069535")</f>
        <v>662671069535</v>
      </c>
      <c r="C125" s="1" t="s">
        <v>230</v>
      </c>
      <c r="D125" s="1" t="s">
        <v>231</v>
      </c>
      <c r="E125" s="1">
        <v>14.08</v>
      </c>
      <c r="F125" s="3">
        <v>45322</v>
      </c>
      <c r="G125" s="1">
        <v>3.3000000000000002E-2</v>
      </c>
      <c r="H125" s="1" t="str">
        <f>("10662671069532")</f>
        <v>10662671069532</v>
      </c>
      <c r="I125" s="1">
        <v>25</v>
      </c>
      <c r="J125" s="1">
        <v>6400</v>
      </c>
    </row>
    <row r="126" spans="1:10" x14ac:dyDescent="0.3">
      <c r="A126" s="1" t="s">
        <v>10</v>
      </c>
      <c r="B126" s="1" t="str">
        <f>("662671069542")</f>
        <v>662671069542</v>
      </c>
      <c r="C126" s="1" t="s">
        <v>232</v>
      </c>
      <c r="D126" s="1" t="s">
        <v>233</v>
      </c>
      <c r="E126" s="1">
        <v>15.64</v>
      </c>
      <c r="F126" s="3">
        <v>45322</v>
      </c>
      <c r="G126" s="1">
        <v>3.3000000000000002E-2</v>
      </c>
      <c r="H126" s="1" t="str">
        <f>("10662671069549")</f>
        <v>10662671069549</v>
      </c>
      <c r="I126" s="1">
        <v>25</v>
      </c>
      <c r="J126" s="1">
        <v>6400</v>
      </c>
    </row>
    <row r="127" spans="1:10" x14ac:dyDescent="0.3">
      <c r="A127" s="1" t="s">
        <v>10</v>
      </c>
      <c r="B127" s="1" t="str">
        <f>("662671069559")</f>
        <v>662671069559</v>
      </c>
      <c r="C127" s="1" t="s">
        <v>234</v>
      </c>
      <c r="D127" s="1" t="s">
        <v>235</v>
      </c>
      <c r="E127" s="1">
        <v>15.64</v>
      </c>
      <c r="F127" s="3">
        <v>45322</v>
      </c>
      <c r="G127" s="1">
        <v>3.3000000000000002E-2</v>
      </c>
      <c r="H127" s="1" t="str">
        <f>("10662671069556")</f>
        <v>10662671069556</v>
      </c>
      <c r="I127" s="1">
        <v>25</v>
      </c>
      <c r="J127" s="1">
        <v>6400</v>
      </c>
    </row>
    <row r="128" spans="1:10" x14ac:dyDescent="0.3">
      <c r="A128" s="1" t="s">
        <v>10</v>
      </c>
      <c r="B128" s="1" t="str">
        <f>("662671075970")</f>
        <v>662671075970</v>
      </c>
      <c r="C128" s="1" t="s">
        <v>236</v>
      </c>
      <c r="D128" s="1" t="s">
        <v>237</v>
      </c>
      <c r="E128" s="1">
        <v>84.4</v>
      </c>
      <c r="F128" s="3">
        <v>45322</v>
      </c>
      <c r="G128" s="1">
        <v>0.23400000000000001</v>
      </c>
      <c r="H128" s="1" t="str">
        <f>("20662671075974")</f>
        <v>20662671075974</v>
      </c>
      <c r="I128" s="1">
        <v>20</v>
      </c>
      <c r="J128" s="1">
        <v>720</v>
      </c>
    </row>
    <row r="129" spans="1:10" x14ac:dyDescent="0.3">
      <c r="A129" s="1" t="s">
        <v>10</v>
      </c>
      <c r="B129" s="1" t="str">
        <f>("662671075987")</f>
        <v>662671075987</v>
      </c>
      <c r="C129" s="1" t="s">
        <v>238</v>
      </c>
      <c r="D129" s="1" t="s">
        <v>239</v>
      </c>
      <c r="E129" s="1">
        <v>88.64</v>
      </c>
      <c r="F129" s="3">
        <v>45322</v>
      </c>
      <c r="G129" s="1">
        <v>0.23400000000000001</v>
      </c>
      <c r="H129" s="1" t="str">
        <f>("20662671075981")</f>
        <v>20662671075981</v>
      </c>
      <c r="I129" s="1">
        <v>20</v>
      </c>
      <c r="J129" s="1">
        <v>720</v>
      </c>
    </row>
    <row r="130" spans="1:10" x14ac:dyDescent="0.3">
      <c r="A130" s="1" t="s">
        <v>10</v>
      </c>
      <c r="B130" s="1" t="str">
        <f>("662671075994")</f>
        <v>662671075994</v>
      </c>
      <c r="C130" s="1" t="s">
        <v>240</v>
      </c>
      <c r="D130" s="1" t="s">
        <v>241</v>
      </c>
      <c r="E130" s="1">
        <v>88.64</v>
      </c>
      <c r="F130" s="3">
        <v>45322</v>
      </c>
      <c r="G130" s="1">
        <v>0.23400000000000001</v>
      </c>
      <c r="H130" s="1" t="str">
        <f>("20662671075998")</f>
        <v>20662671075998</v>
      </c>
      <c r="I130" s="1">
        <v>20</v>
      </c>
      <c r="J130" s="1">
        <v>720</v>
      </c>
    </row>
    <row r="131" spans="1:10" s="1" customFormat="1" x14ac:dyDescent="0.3">
      <c r="A131" s="1" t="s">
        <v>10</v>
      </c>
      <c r="B131" s="1" t="s">
        <v>242</v>
      </c>
      <c r="C131" s="1" t="s">
        <v>243</v>
      </c>
      <c r="D131" s="1" t="s">
        <v>244</v>
      </c>
      <c r="E131" s="1">
        <v>63.73</v>
      </c>
      <c r="F131" s="3" t="s">
        <v>245</v>
      </c>
      <c r="G131" s="1">
        <v>0.373</v>
      </c>
      <c r="H131" s="1" t="str">
        <f>("10662671761191")</f>
        <v>10662671761191</v>
      </c>
      <c r="I131" s="1">
        <v>12</v>
      </c>
      <c r="J131" s="1">
        <v>576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3F06A2-2E07-46C0-AA88-E76A7A18F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46B30-D944-4D28-835F-C5A6450BE79E}">
  <ds:schemaRefs>
    <ds:schemaRef ds:uri="http://purl.org/dc/terms/"/>
    <ds:schemaRef ds:uri="41ba6191-8548-4a51-a503-7c130ef478ea"/>
    <ds:schemaRef ds:uri="http://purl.org/dc/elements/1.1/"/>
    <ds:schemaRef ds:uri="http://www.w3.org/XML/1998/namespace"/>
    <ds:schemaRef ds:uri="76fd90fa-ed7f-49d1-b116-a371fe2e877a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7A03DE-0546-4D34-8D92-6BF9BEB36F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CAFRVAC060122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2024-04-23T18:23:39Z</dcterms:created>
  <dcterms:modified xsi:type="dcterms:W3CDTF">2024-10-24T14:42:06Z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