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aliaxis365-my.sharepoint.com/personal/lholmes_canplas_com/Documents/Documents/Price Lists/Future price lists/"/>
    </mc:Choice>
  </mc:AlternateContent>
  <xr:revisionPtr revIDLastSave="0" documentId="8_{24BAD8EC-9FA4-4547-A44D-2F144884EDD5}" xr6:coauthVersionLast="45" xr6:coauthVersionMax="45" xr10:uidLastSave="{00000000-0000-0000-0000-000000000000}"/>
  <bookViews>
    <workbookView xWindow="-28910" yWindow="-30" windowWidth="29020" windowHeight="15820" xr2:uid="{00000000-000D-0000-FFFF-FFFF00000000}"/>
  </bookViews>
  <sheets>
    <sheet name="CPS-02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" i="1" l="1"/>
  <c r="H2" i="1"/>
  <c r="B3" i="1"/>
  <c r="H3" i="1"/>
  <c r="B4" i="1"/>
  <c r="H4" i="1"/>
  <c r="B5" i="1"/>
  <c r="H5" i="1"/>
  <c r="B6" i="1"/>
  <c r="H6" i="1"/>
  <c r="B7" i="1"/>
  <c r="H7" i="1"/>
  <c r="B8" i="1"/>
  <c r="H8" i="1"/>
  <c r="B9" i="1"/>
  <c r="H9" i="1"/>
  <c r="B10" i="1"/>
  <c r="H10" i="1"/>
  <c r="B11" i="1"/>
  <c r="H11" i="1"/>
  <c r="B12" i="1"/>
  <c r="H12" i="1"/>
  <c r="B13" i="1"/>
  <c r="H13" i="1"/>
  <c r="B14" i="1"/>
  <c r="H14" i="1"/>
  <c r="B15" i="1"/>
  <c r="H15" i="1"/>
  <c r="B16" i="1"/>
  <c r="H16" i="1"/>
  <c r="B17" i="1"/>
  <c r="H17" i="1"/>
  <c r="B18" i="1"/>
  <c r="H18" i="1"/>
  <c r="B19" i="1"/>
  <c r="H19" i="1"/>
  <c r="B20" i="1"/>
  <c r="H20" i="1"/>
  <c r="B21" i="1"/>
  <c r="H21" i="1"/>
  <c r="B22" i="1"/>
  <c r="H22" i="1"/>
  <c r="B23" i="1"/>
  <c r="H23" i="1"/>
  <c r="B24" i="1"/>
  <c r="H24" i="1"/>
  <c r="B25" i="1"/>
  <c r="H25" i="1"/>
  <c r="B26" i="1"/>
  <c r="H26" i="1"/>
  <c r="B27" i="1"/>
  <c r="H27" i="1"/>
  <c r="B28" i="1"/>
  <c r="H28" i="1"/>
  <c r="B29" i="1"/>
  <c r="H29" i="1"/>
  <c r="B30" i="1"/>
  <c r="H30" i="1"/>
  <c r="B31" i="1"/>
  <c r="H31" i="1"/>
  <c r="B32" i="1"/>
  <c r="H32" i="1"/>
  <c r="B33" i="1"/>
  <c r="H33" i="1"/>
  <c r="B34" i="1"/>
  <c r="H34" i="1"/>
  <c r="B35" i="1"/>
  <c r="H35" i="1"/>
  <c r="B36" i="1"/>
  <c r="H36" i="1"/>
  <c r="B37" i="1"/>
  <c r="H37" i="1"/>
  <c r="B38" i="1"/>
  <c r="H38" i="1"/>
  <c r="B39" i="1"/>
  <c r="H39" i="1"/>
  <c r="B40" i="1"/>
  <c r="H40" i="1"/>
  <c r="B41" i="1"/>
  <c r="H41" i="1"/>
  <c r="B42" i="1"/>
  <c r="H42" i="1"/>
  <c r="B43" i="1"/>
  <c r="H43" i="1"/>
  <c r="B44" i="1"/>
  <c r="H44" i="1"/>
  <c r="B45" i="1"/>
  <c r="H45" i="1"/>
  <c r="B46" i="1"/>
  <c r="H46" i="1"/>
  <c r="B47" i="1"/>
  <c r="H47" i="1"/>
  <c r="B48" i="1"/>
  <c r="H48" i="1"/>
  <c r="B49" i="1"/>
  <c r="H49" i="1"/>
  <c r="B50" i="1"/>
  <c r="H50" i="1"/>
  <c r="B51" i="1"/>
  <c r="H51" i="1"/>
  <c r="B52" i="1"/>
  <c r="H52" i="1"/>
  <c r="B53" i="1"/>
  <c r="H53" i="1"/>
  <c r="B54" i="1"/>
  <c r="H54" i="1"/>
  <c r="B55" i="1"/>
  <c r="H55" i="1"/>
  <c r="B56" i="1"/>
  <c r="H56" i="1"/>
  <c r="B57" i="1"/>
  <c r="H57" i="1"/>
  <c r="B58" i="1"/>
  <c r="H58" i="1"/>
  <c r="B59" i="1"/>
  <c r="H59" i="1"/>
  <c r="B60" i="1"/>
  <c r="H60" i="1"/>
  <c r="B61" i="1"/>
  <c r="H61" i="1"/>
  <c r="B62" i="1"/>
  <c r="H62" i="1"/>
  <c r="B63" i="1"/>
  <c r="H63" i="1"/>
  <c r="B64" i="1"/>
  <c r="H64" i="1"/>
  <c r="B65" i="1"/>
  <c r="H65" i="1"/>
  <c r="B66" i="1"/>
  <c r="H66" i="1"/>
  <c r="B67" i="1"/>
  <c r="H67" i="1"/>
  <c r="B68" i="1"/>
  <c r="H68" i="1"/>
  <c r="B69" i="1"/>
  <c r="H69" i="1"/>
  <c r="B70" i="1"/>
  <c r="H70" i="1"/>
  <c r="B71" i="1"/>
  <c r="H71" i="1"/>
  <c r="B72" i="1"/>
  <c r="H72" i="1"/>
  <c r="B73" i="1"/>
  <c r="H73" i="1"/>
  <c r="B74" i="1"/>
  <c r="H74" i="1"/>
  <c r="B75" i="1"/>
  <c r="H75" i="1"/>
  <c r="B76" i="1"/>
  <c r="H76" i="1"/>
  <c r="B77" i="1"/>
  <c r="H77" i="1"/>
  <c r="B78" i="1"/>
  <c r="H78" i="1"/>
  <c r="B79" i="1"/>
  <c r="H79" i="1"/>
  <c r="B80" i="1"/>
  <c r="H80" i="1"/>
  <c r="B81" i="1"/>
  <c r="H81" i="1"/>
  <c r="B82" i="1"/>
  <c r="H82" i="1"/>
  <c r="B83" i="1"/>
  <c r="H83" i="1"/>
  <c r="B84" i="1"/>
  <c r="H84" i="1"/>
  <c r="B85" i="1"/>
  <c r="H85" i="1"/>
  <c r="B86" i="1"/>
  <c r="H86" i="1"/>
  <c r="B87" i="1"/>
  <c r="H87" i="1"/>
  <c r="B88" i="1"/>
  <c r="H88" i="1"/>
  <c r="B89" i="1"/>
  <c r="H89" i="1"/>
  <c r="B90" i="1"/>
  <c r="H90" i="1"/>
  <c r="B91" i="1"/>
  <c r="H91" i="1"/>
  <c r="B92" i="1"/>
  <c r="H92" i="1"/>
  <c r="B93" i="1"/>
  <c r="H93" i="1"/>
  <c r="B94" i="1"/>
  <c r="H94" i="1"/>
  <c r="B95" i="1"/>
  <c r="H95" i="1"/>
  <c r="B96" i="1"/>
  <c r="H96" i="1"/>
  <c r="B97" i="1"/>
  <c r="H97" i="1"/>
  <c r="B98" i="1"/>
  <c r="H98" i="1"/>
  <c r="B99" i="1"/>
  <c r="H99" i="1"/>
  <c r="B100" i="1"/>
  <c r="H100" i="1"/>
  <c r="B101" i="1"/>
  <c r="H101" i="1"/>
  <c r="B102" i="1"/>
  <c r="H102" i="1"/>
  <c r="B103" i="1"/>
  <c r="H103" i="1"/>
  <c r="B104" i="1"/>
  <c r="H104" i="1"/>
  <c r="B105" i="1"/>
  <c r="H105" i="1"/>
  <c r="B106" i="1"/>
  <c r="H106" i="1"/>
  <c r="B107" i="1"/>
  <c r="H107" i="1"/>
  <c r="B108" i="1"/>
  <c r="H108" i="1"/>
  <c r="B109" i="1"/>
  <c r="H109" i="1"/>
  <c r="B110" i="1"/>
  <c r="H110" i="1"/>
  <c r="B111" i="1"/>
  <c r="H111" i="1"/>
  <c r="B112" i="1"/>
  <c r="H112" i="1"/>
  <c r="B113" i="1"/>
  <c r="H113" i="1"/>
  <c r="B114" i="1"/>
  <c r="H114" i="1"/>
  <c r="B115" i="1"/>
  <c r="H115" i="1"/>
  <c r="B116" i="1"/>
  <c r="H116" i="1"/>
  <c r="B117" i="1"/>
  <c r="H117" i="1"/>
  <c r="B118" i="1"/>
  <c r="H118" i="1"/>
  <c r="B119" i="1"/>
  <c r="H119" i="1"/>
  <c r="B120" i="1"/>
  <c r="H120" i="1"/>
  <c r="B121" i="1"/>
  <c r="H121" i="1"/>
  <c r="B122" i="1"/>
  <c r="H122" i="1"/>
  <c r="B123" i="1"/>
  <c r="H123" i="1"/>
  <c r="B124" i="1"/>
  <c r="H124" i="1"/>
  <c r="B125" i="1"/>
  <c r="H125" i="1"/>
  <c r="B126" i="1"/>
  <c r="H126" i="1"/>
  <c r="B127" i="1"/>
  <c r="H127" i="1"/>
  <c r="B128" i="1"/>
  <c r="H128" i="1"/>
  <c r="B129" i="1"/>
  <c r="H129" i="1"/>
  <c r="B130" i="1"/>
  <c r="H130" i="1"/>
  <c r="B131" i="1"/>
  <c r="H131" i="1"/>
  <c r="B132" i="1"/>
  <c r="H132" i="1"/>
  <c r="B133" i="1"/>
  <c r="H133" i="1"/>
  <c r="B134" i="1"/>
  <c r="H134" i="1"/>
  <c r="B135" i="1"/>
  <c r="H135" i="1"/>
  <c r="B136" i="1"/>
  <c r="H136" i="1"/>
  <c r="B137" i="1"/>
  <c r="H137" i="1"/>
  <c r="B138" i="1"/>
  <c r="H138" i="1"/>
  <c r="B139" i="1"/>
  <c r="H139" i="1"/>
  <c r="B140" i="1"/>
  <c r="H140" i="1"/>
  <c r="B141" i="1"/>
  <c r="H141" i="1"/>
  <c r="B142" i="1"/>
  <c r="H142" i="1"/>
  <c r="B143" i="1"/>
  <c r="H143" i="1"/>
  <c r="B144" i="1"/>
  <c r="H144" i="1"/>
  <c r="B145" i="1"/>
  <c r="H145" i="1"/>
  <c r="B146" i="1"/>
  <c r="H146" i="1"/>
  <c r="B147" i="1"/>
  <c r="H147" i="1"/>
  <c r="B148" i="1"/>
  <c r="H148" i="1"/>
  <c r="B149" i="1"/>
  <c r="H149" i="1"/>
  <c r="B150" i="1"/>
  <c r="H150" i="1"/>
  <c r="B151" i="1"/>
  <c r="H151" i="1"/>
  <c r="B152" i="1"/>
  <c r="H152" i="1"/>
  <c r="B153" i="1"/>
  <c r="H153" i="1"/>
  <c r="B154" i="1"/>
  <c r="H154" i="1"/>
  <c r="B155" i="1"/>
  <c r="H155" i="1"/>
  <c r="B156" i="1"/>
  <c r="H156" i="1"/>
  <c r="B157" i="1"/>
  <c r="H157" i="1"/>
  <c r="B158" i="1"/>
  <c r="H158" i="1"/>
  <c r="B159" i="1"/>
  <c r="H159" i="1"/>
  <c r="B160" i="1"/>
  <c r="H160" i="1"/>
  <c r="B161" i="1"/>
  <c r="H161" i="1"/>
  <c r="B162" i="1"/>
  <c r="H162" i="1"/>
  <c r="B163" i="1"/>
  <c r="H163" i="1"/>
  <c r="B164" i="1"/>
  <c r="H164" i="1"/>
  <c r="B165" i="1"/>
  <c r="H165" i="1"/>
  <c r="B166" i="1"/>
  <c r="H166" i="1"/>
  <c r="B167" i="1"/>
  <c r="H167" i="1"/>
  <c r="B168" i="1"/>
  <c r="H168" i="1"/>
  <c r="B169" i="1"/>
  <c r="H169" i="1"/>
</calcChain>
</file>

<file path=xl/sharedStrings.xml><?xml version="1.0" encoding="utf-8"?>
<sst xmlns="http://schemas.openxmlformats.org/spreadsheetml/2006/main" count="467" uniqueCount="300">
  <si>
    <t>UPC-Code</t>
  </si>
  <si>
    <t>List Price</t>
  </si>
  <si>
    <t>Eff-Date</t>
  </si>
  <si>
    <t>Unit Wght Kgs</t>
  </si>
  <si>
    <t>Ctn Bar-Code</t>
  </si>
  <si>
    <t>Ctn Qty</t>
  </si>
  <si>
    <t>Skid Qty</t>
  </si>
  <si>
    <t>CPS-0224</t>
  </si>
  <si>
    <t>123272 ABS DWV 2" BWV W/ 16" SLEEVE &amp; LID HXH BLK</t>
  </si>
  <si>
    <t>123281 ABS DWV 1 1/2" BWV HXH BLK CANPLAS</t>
  </si>
  <si>
    <t>123281-2A</t>
  </si>
  <si>
    <t>123281-2A ABS DWV 1 1/2 -2" BWV FLAPPER W/ ORING BLK</t>
  </si>
  <si>
    <t>123281-3A</t>
  </si>
  <si>
    <t>123281-3A ABS DWV 1 1/2 -2" BWV C/OLID W/ ORING BLK CANPLAS</t>
  </si>
  <si>
    <t>123281-4</t>
  </si>
  <si>
    <t>123281-4 ABS BWV LID 237 O RING</t>
  </si>
  <si>
    <t>123282 ABS DWV 2" BWV HXH BLK CANPLAS</t>
  </si>
  <si>
    <t>123283 ABS DWV 3" BWV HXH BLK CANPLAS</t>
  </si>
  <si>
    <t>123283-2A</t>
  </si>
  <si>
    <t>123283-2A ABS DWV 3" BWV FLAPPER W/ORING BLK CANPLAS</t>
  </si>
  <si>
    <t>123283-3A</t>
  </si>
  <si>
    <t>123283-3A ABS DWV 3" BWV C/O LID W/ORING BLK CANPLAS</t>
  </si>
  <si>
    <t>123283-4</t>
  </si>
  <si>
    <t>123283-4 ABS BWV LID 246 O RING</t>
  </si>
  <si>
    <t>123283-5</t>
  </si>
  <si>
    <t>123283-5 ABS BWV FLAPPER 234 O RING</t>
  </si>
  <si>
    <t>123284 ABS DWV 4" BWV BLK CANPLAS</t>
  </si>
  <si>
    <t>123284-2A</t>
  </si>
  <si>
    <t>123284-2A ABS DWV 4" BWV FLAPPER W/ORING BLK CANPLAS</t>
  </si>
  <si>
    <t>123284-3A</t>
  </si>
  <si>
    <t>123284-3A ABS DWV 4" BWV C/O LID W/ORING BLK CANPLAS</t>
  </si>
  <si>
    <t>123285 ABS DWV 4" BWV W/ 16" SLEEVE &amp; LID HXH BLK</t>
  </si>
  <si>
    <t>123285-2</t>
  </si>
  <si>
    <t>123285-2 ABS DWV 4" BWV SLEEVE LIDBLK CANPLAS</t>
  </si>
  <si>
    <t>123285-3</t>
  </si>
  <si>
    <t>123285-3 ABS DWV 4" BWV EXT SLEEVEBLK CANPLAS</t>
  </si>
  <si>
    <t>123286 ABS DWV 6" BWV HXH BLK CANPLAS</t>
  </si>
  <si>
    <t>123286-2A</t>
  </si>
  <si>
    <t>123286-2A ABS DWV 6" BWV FLAPPER W/ORING BLK CANPLAS</t>
  </si>
  <si>
    <t>123286-3A</t>
  </si>
  <si>
    <t>123286-3A ABS DWV 6" BWV C/O LID W/ORING BLK CANPLAS</t>
  </si>
  <si>
    <t>123286-4</t>
  </si>
  <si>
    <t>123286-4 O RING #270 FOR 6" BWV LID</t>
  </si>
  <si>
    <t>123287 ABS DWV 3" BWV W/ 16" SLEEVE &amp; LID HXH BLK</t>
  </si>
  <si>
    <t>123287-2</t>
  </si>
  <si>
    <t>123287-2 ABS DWV 3" BWV SLEEVE LIDBLK CANPLAS</t>
  </si>
  <si>
    <t>123287-3</t>
  </si>
  <si>
    <t>123287-3 ABS DWV 3" BWV EXT SLEEVEBLK CANPLAS</t>
  </si>
  <si>
    <t>123293 ABS DWV 3" 90D BWV W/ THRD PLUG HXH BLK CANPLAS</t>
  </si>
  <si>
    <t>123293A</t>
  </si>
  <si>
    <t>123293A ABS DWV 3" 90D BWV W/ PTRAP &amp; C/O SPGXFPTXH BLK</t>
  </si>
  <si>
    <t>123302 ABS DWV 1 1/2 -2" BWV SLEEVE KIT SEWER BLK</t>
  </si>
  <si>
    <t>123302-2</t>
  </si>
  <si>
    <t>123302-2 ABS BWV 1-1/2&amp;2 EXT SLV LID</t>
  </si>
  <si>
    <t>123303 ABS DWV 3" BWV SLEEVE KITBLK CANPLAS</t>
  </si>
  <si>
    <t>123303-2</t>
  </si>
  <si>
    <t>123303-2 ABS DWV 3" BWV SLEEVE LIDBLK CANPLAS</t>
  </si>
  <si>
    <t>123304 ABS DWV 4" BWV SLEEVE KITBLK CANPLAS</t>
  </si>
  <si>
    <t>123304-2</t>
  </si>
  <si>
    <t>123304-2 ABS DWV 4" BWV SLEEVE LIDBLK CANPLAS</t>
  </si>
  <si>
    <t>13112011 ABS DWV 1 1/2 -2" AAV H BLK CANPLAS</t>
  </si>
  <si>
    <t>13212011 PVC DWV 1 1/2 -2" AAV H BLK CANPLAS</t>
  </si>
  <si>
    <t>133070GN</t>
  </si>
  <si>
    <t>133070GN PPN 3 -4" VENT CAP GRN CANPLAS</t>
  </si>
  <si>
    <t>133070W</t>
  </si>
  <si>
    <t>133070W PPN 3 -4" VENT CAP WHT CANPLAS</t>
  </si>
  <si>
    <t>133608 SS CLST FLNG REP RING GRYCANPLAS</t>
  </si>
  <si>
    <t>223272W</t>
  </si>
  <si>
    <t>223272W PVC WHT 2" BWV W/ 16" SLEEVE &amp; LID HXH WHT</t>
  </si>
  <si>
    <t>223281 PVC DWV 1 1/2" BWV HXH GRY CANPLAS</t>
  </si>
  <si>
    <t>223281-2WA</t>
  </si>
  <si>
    <t>223281-2WA PVC WHT 1 1/2" BWV FLAPPER W/ ORING WHT</t>
  </si>
  <si>
    <t>223281-3WA</t>
  </si>
  <si>
    <t>223281-3WA PVC WHT 1 1/2" BWV C/O LID W/ ORING WHT CANPLAS</t>
  </si>
  <si>
    <t>223281W</t>
  </si>
  <si>
    <t>223281W PVC WHT 1 1/2" BWV HXH WHT CANPLAS</t>
  </si>
  <si>
    <t>223282 PVC DWV 2" BWV HXH GRY CANPLAS</t>
  </si>
  <si>
    <t>223282W</t>
  </si>
  <si>
    <t>223282W PVC WHT 2" BWV HXH WHT CANPLAS</t>
  </si>
  <si>
    <t>223283 PVC DWV 3" BWV HXH GRY CANPLAS</t>
  </si>
  <si>
    <t>223283-3WA</t>
  </si>
  <si>
    <t>223283-3WA PVC WHT 3" BWV C/O LID W/ORING WHT CANPLAS</t>
  </si>
  <si>
    <t>223283W</t>
  </si>
  <si>
    <t>223283W PVC WHT 3" BWV HXH WHT CANPLAS</t>
  </si>
  <si>
    <t>223284 PVC DWV 4" BWV HXH GRY CANPLAS</t>
  </si>
  <si>
    <t>223284-3WA</t>
  </si>
  <si>
    <t>223284-3WA PVC WHT 4" BWV C/O LID W/ORING WHT CANPLAS</t>
  </si>
  <si>
    <t>223284W</t>
  </si>
  <si>
    <t>223284W PVC WHT 4" BWV HXH WHT CANPLAS</t>
  </si>
  <si>
    <t>223285 PVC DWV 4" BWV W/ 16" SLEEVE &amp; LID HXH GRY</t>
  </si>
  <si>
    <t>223285W</t>
  </si>
  <si>
    <t>223285W PVC WHT 4" BWV W/ 16" SLEEVE &amp; LID HXH WHT</t>
  </si>
  <si>
    <t>223286-3W</t>
  </si>
  <si>
    <t>223286-3W PVC WHT 6" BWV SLEEVE LIDWHT CANPLAS</t>
  </si>
  <si>
    <t>223286-3WA</t>
  </si>
  <si>
    <t>223286-3WA PVC WHT 6" BWV C/O LID W/ORING WHT CANPLAS</t>
  </si>
  <si>
    <t>223286-6W</t>
  </si>
  <si>
    <t>223286-6W PVC WHT 6" BWV SLEEVE LID10" SDR 35 WHT CANPLAS</t>
  </si>
  <si>
    <t>223286W</t>
  </si>
  <si>
    <t>223286W PVC WHT 6" BWV HXH WHT CANPLAS</t>
  </si>
  <si>
    <t>223287W</t>
  </si>
  <si>
    <t>223287W PVC WHT 3" BWV W/ 16" SLEEVE &amp; LID HXH WHT</t>
  </si>
  <si>
    <t>223288W</t>
  </si>
  <si>
    <t>223288W PVC WHT 4" BWV W/ 16" SLEEVE &amp; LID SEWER HXH</t>
  </si>
  <si>
    <t>223289W</t>
  </si>
  <si>
    <t>223289W PVC WHT 4" BWV HXH WHT CANPLAS</t>
  </si>
  <si>
    <t>223290W</t>
  </si>
  <si>
    <t>223290W PVC WHT 3" BWV W/ 16" SLEEVE &amp; LID HXH WHT</t>
  </si>
  <si>
    <t>223291W</t>
  </si>
  <si>
    <t>223291W PVC WHT 3" BWV HXH WHT CANPLAS</t>
  </si>
  <si>
    <t>223302-2W</t>
  </si>
  <si>
    <t>223302-2W PVC WHT 1 1/2 -2" BWV SLEEVE LID 4" SDR 35 WHT</t>
  </si>
  <si>
    <t>223302W</t>
  </si>
  <si>
    <t>223302W PVC WHT 1 1/2 -2" BWV SLEEVE KIT WHT CANPLAS</t>
  </si>
  <si>
    <t>223303-2W</t>
  </si>
  <si>
    <t>223303-2W PVC WHT 3" BWV SLEEVE LID6" SDR 35 WHT CANPLAS</t>
  </si>
  <si>
    <t>223303W</t>
  </si>
  <si>
    <t>223303W PVC WHT 3" BWV SLEEVE KITWHT CANPLAS</t>
  </si>
  <si>
    <t>223304-2W</t>
  </si>
  <si>
    <t>223304-2W PVC WHT 4" BWV SLEEVE LID8" SDR 35 WHT CANPLAS</t>
  </si>
  <si>
    <t>223304W</t>
  </si>
  <si>
    <t>223304W PVC WHT 4" BWV SLEEVE KITWHT CANPLAS</t>
  </si>
  <si>
    <t>321842 PVC DWV 2" PIPE END DRN GRT GRY CANPLAS</t>
  </si>
  <si>
    <t>323854 PVC DWV 1 1/2" ADJ W&amp;O PL&amp; CH CHROME H GRY CANPLAS</t>
  </si>
  <si>
    <t>323856 PVC DWV 1 1/2" ADJ W&amp;O L &amp; T CHROME H GRY CANPLAS</t>
  </si>
  <si>
    <t>323858 PVC DWV 1 1/2" ADJ W&amp;O POP UP CHROME H GRY</t>
  </si>
  <si>
    <t>321842W</t>
  </si>
  <si>
    <t>321842W PVC WHT 2" PIPE END DRN GRT WHT CANPLAS</t>
  </si>
  <si>
    <t>321843 PVC DWV 3" PIPE END DRN GRT GRY CANPLAS</t>
  </si>
  <si>
    <t>321843W</t>
  </si>
  <si>
    <t>321843W PVC WHT 3" PIPE END DRN GRT WHT CANPLAS</t>
  </si>
  <si>
    <t>321844 PVC DWV 4" PIPE END DRN GRT GRY CANPLAS</t>
  </si>
  <si>
    <t>321844W</t>
  </si>
  <si>
    <t>321844W PVC WHT 4" PIPE END DRN GRT WHT CANPLAS</t>
  </si>
  <si>
    <t>321942-2W</t>
  </si>
  <si>
    <t>321942-2W PVC WHT 1 1/2 -2" SHWR DRN GRT GREAT WHITE WHT</t>
  </si>
  <si>
    <t>321957WSS</t>
  </si>
  <si>
    <t>321957WSS PVC WHT 2X3" ECON BOLT SHWR DRN SS STRNR H WHT</t>
  </si>
  <si>
    <t>321982WSS</t>
  </si>
  <si>
    <t>321982WSS PVC WHT 2" ECON SHWR DRN SS STRNR H WHT CANPLAS</t>
  </si>
  <si>
    <t>322041W</t>
  </si>
  <si>
    <t>322041W PVC 1-1/2 F THR SH DR PLSGRT</t>
  </si>
  <si>
    <t>322041WSS</t>
  </si>
  <si>
    <t>322041WSS PVC WHT 1 1/2" SHWR DRN FPT SS STRNR H WHT</t>
  </si>
  <si>
    <t>322042W</t>
  </si>
  <si>
    <t>322042W PVC WHT 2" SHWR DRN FPT PVW WHT STRNR H WHT</t>
  </si>
  <si>
    <t>322042WSS</t>
  </si>
  <si>
    <t>322042WSS PVC WHT 2" SHWR DRN FPT SS STRNR H WHT CANPLAS</t>
  </si>
  <si>
    <t>322143W</t>
  </si>
  <si>
    <t>322143W PVC WHT 3" UTILITY DRN ALUM GRT H WHT CANPLAS</t>
  </si>
  <si>
    <t>322143WC</t>
  </si>
  <si>
    <t>322143WC PVC WHT 3" UTILITY C/O WHT CANPLAS</t>
  </si>
  <si>
    <t>322144W</t>
  </si>
  <si>
    <t>322144W PVC WHT 4" UTILITY DRN ALUM GRT H WHT CANPLAS</t>
  </si>
  <si>
    <t>322144WC</t>
  </si>
  <si>
    <t>322144WC PVC WHT 4" UTILITY C/O ALUM LID H WHT CANPLAS</t>
  </si>
  <si>
    <t>322242WSS</t>
  </si>
  <si>
    <t>322242WSS PVC WHT 2" TILE SHWR DRN SS ROUND STRNR H WHT</t>
  </si>
  <si>
    <t>322342WSS</t>
  </si>
  <si>
    <t>322342WSS PVC WHT 2" TILE SHWR DRN SS SQ STRNR H WHT CANPLAS</t>
  </si>
  <si>
    <t>322542WSS</t>
  </si>
  <si>
    <t>322542WSS PVC WHT 1 1/2 -2" 45D OFFSET DRN FPT SS GRT H</t>
  </si>
  <si>
    <t>322804 PVC DWV 1 1/2" IND W&amp;O PL&amp; CH CHROME H GRY CANPLAS</t>
  </si>
  <si>
    <t>322806 PVC DWV 1 1/2" IND W&amp;O L &amp; T CHROME H CP CANPLAS</t>
  </si>
  <si>
    <t>322808 PVC DWV 1 1/2" IND W&amp;O POP UP CHROME H CP</t>
  </si>
  <si>
    <t>322904 PVC DWV 1 1/2" CONV W&amp;O PL &amp; CH CHROME H CP</t>
  </si>
  <si>
    <t>322906 PVC DWV 1 1/2" CONV W&amp;O L&amp; T CHROME H CP CANPLAS</t>
  </si>
  <si>
    <t>322908 PVC DWV 1 1/2" CONV W&amp;O POP UP CHROME H CP</t>
  </si>
  <si>
    <t>331942-2BN</t>
  </si>
  <si>
    <t>331942-2BN SS 1 1/2 -2" ROUND STRNR GRT NICKEL BN CANPLAS</t>
  </si>
  <si>
    <t>331942-2ORB</t>
  </si>
  <si>
    <t>331942-2ORB SS 1 1/2 -2" ROUND STRNR GRT BRONZE ORB CANPLAS</t>
  </si>
  <si>
    <t>331942-2SS</t>
  </si>
  <si>
    <t>331942-2SS SS 1 1/2 -2" ROUND STRNR GRT SS SS CANPLAS</t>
  </si>
  <si>
    <t>331943-2BN</t>
  </si>
  <si>
    <t>331943-2BN SS 1 1/2 -2" SQ STRNR GRTNICKEL BN CANPLAS</t>
  </si>
  <si>
    <t>331943-2ORB</t>
  </si>
  <si>
    <t>331943-2ORB SS 1 1/2 -2" SQ STRNR GRTBRONZE ORB CANPLAS</t>
  </si>
  <si>
    <t>331943-2SS</t>
  </si>
  <si>
    <t>331943-2SS SS 1 1/2 -2" SQ STRNR GRTSS SS CANPLAS</t>
  </si>
  <si>
    <t>333804-8</t>
  </si>
  <si>
    <t>333804-8 FACEPLATE SNAP ON CP CANPLAS</t>
  </si>
  <si>
    <t>333854 ABS DWV 1 1/2" ADJ W&amp;O PL&amp; CH CHROME CP CANPLAS</t>
  </si>
  <si>
    <t>333856 ABS DWV 1 1/2" ADJ W&amp;O L &amp; T CHROME CP CANPLAS</t>
  </si>
  <si>
    <t>333858 ABS DWV 1 1/2" ADJ W&amp;O POP UP CHROME CP CANPLAS</t>
  </si>
  <si>
    <t>332807-8MB</t>
  </si>
  <si>
    <t>332807-8MB POP UP W&amp;O HARDWARE MATTEBLACK</t>
  </si>
  <si>
    <t>332805-8MB</t>
  </si>
  <si>
    <t>332805-8MB ABS L &amp; T STRNR BLACK BLKCANPLAS</t>
  </si>
  <si>
    <t>333804-8MBR</t>
  </si>
  <si>
    <t>333804-8MBR W&amp;O FACE PLATE MATTE BLACK</t>
  </si>
  <si>
    <t>333804-8BNR</t>
  </si>
  <si>
    <t>333804-8BNR ABS W&amp;O FACEPLATE NICKEL BN CANPLAS</t>
  </si>
  <si>
    <t>331952SS</t>
  </si>
  <si>
    <t>331952SS BRASS 2" NO CAULK SHWR DRN SS GRT BRS CANPLAS</t>
  </si>
  <si>
    <t>332809BNP</t>
  </si>
  <si>
    <t>332809BNP W&amp;O TRIM KIT POP UP NICKEL</t>
  </si>
  <si>
    <t>332809PCL</t>
  </si>
  <si>
    <t>332809PCL 1 1/2" W&amp;O TRIM KIT LIFT&amp;TURN CP CANPLAS</t>
  </si>
  <si>
    <t>331957SS</t>
  </si>
  <si>
    <t>331957SS ABS DWV 2X3" ECON BOLT SHWR DRN SS STRNR H BLK</t>
  </si>
  <si>
    <t>332809PCP</t>
  </si>
  <si>
    <t>332809PCP W&amp;O TRIM KIT POP UP CP</t>
  </si>
  <si>
    <t>332809BNL</t>
  </si>
  <si>
    <t>332809BNL W&amp;O TRIM KIT LIFT&amp;TURN NICKEL</t>
  </si>
  <si>
    <t>331962SS</t>
  </si>
  <si>
    <t>331962SS ABS DWV 2" ECON OFFSET SHWR DRN SS STRNR H BLK</t>
  </si>
  <si>
    <t>332809MBP</t>
  </si>
  <si>
    <t>332809MBP W&amp;O TRIM KIT POP UP BLK</t>
  </si>
  <si>
    <t>332809MBL</t>
  </si>
  <si>
    <t>332809MBL W&amp;O TRIM KIT LIFT&amp;TURN BLK</t>
  </si>
  <si>
    <t>332807-8MW</t>
  </si>
  <si>
    <t>332807-8MW POP UP W&amp;O HARDWARE MATTEWHITE</t>
  </si>
  <si>
    <t>333804-8MWR</t>
  </si>
  <si>
    <t>333804-8MWR W&amp;O FACEPLATE MATTE WHITE</t>
  </si>
  <si>
    <t>331982SS</t>
  </si>
  <si>
    <t>331982SS ABS DWV 2" ECON SHWR DRN SS STRNR H BLK CANPLAS</t>
  </si>
  <si>
    <t>332805-8MW</t>
  </si>
  <si>
    <t>332805-8MW LIFT &amp; TURN HARDWARE MATTE WHITE</t>
  </si>
  <si>
    <t>332809MWL</t>
  </si>
  <si>
    <t>332809MWL W&amp;O TRIM KIT LIFT&amp;TURN WHT</t>
  </si>
  <si>
    <t>332809MWP</t>
  </si>
  <si>
    <t>332809MWP W&amp;O TRIM KIT POP UP WHT</t>
  </si>
  <si>
    <t>331943-2MB</t>
  </si>
  <si>
    <t>331943-2MB SS 1 1/2 -2" SQ STRNR GRTBLK CANPLAS</t>
  </si>
  <si>
    <t>331942-2MB</t>
  </si>
  <si>
    <t>331942-2MB SS 1 1/2 -2" ROUND STRNR GRT BLK CANPLAS</t>
  </si>
  <si>
    <t>331943-2MW</t>
  </si>
  <si>
    <t>331943-2MW SS 1 1/2 -2" SQ STRNR GRTWHT CANPLAS</t>
  </si>
  <si>
    <t>331942-2MW</t>
  </si>
  <si>
    <t>331942-2MW SS 1 1/2 -2" ROUND STRNR GRT WHT CANPLAS</t>
  </si>
  <si>
    <t>332041 ABS DWV 1 1/2" ROUND SHWRDRN WHT STRNR H BLK</t>
  </si>
  <si>
    <t>332041SS</t>
  </si>
  <si>
    <t>332041SS ABS DWV 1 1/2" SHWR DRN FPT SS GRT H BLK CANPLAS</t>
  </si>
  <si>
    <t>332042 ABS DWV 2" ROUND SHWR DRNWHT STRNR H BLK CANPLAS</t>
  </si>
  <si>
    <t>332042SS</t>
  </si>
  <si>
    <t>332042SS ABS DWV 2" SHWR DRN FPT SS GRT H BLK CANPLAS</t>
  </si>
  <si>
    <t>332143 ABS DWV 3" UTILITY DRN ALUM GRT H BLK CANPLAS</t>
  </si>
  <si>
    <t>332143C</t>
  </si>
  <si>
    <t>332143C ABS DWV 3" UTILITY C/O ALUM LID H BLK CANPLAS</t>
  </si>
  <si>
    <t>332144 ABS DWV 4" UTILITY DRN ALUM GRT H BLK CANPLAS</t>
  </si>
  <si>
    <t>332144C</t>
  </si>
  <si>
    <t>332144C ABS DWV 4" UTILITY C/O ALUM LID H BLK CANPLAS</t>
  </si>
  <si>
    <t>332241 ABS DWV 1 1/2" TILE SHWR DRN WHT ROUND STRNR H BLK</t>
  </si>
  <si>
    <t>332242 ABS DWV 2" TILE SHWR DRN WHT ROUND STRNR H BLK</t>
  </si>
  <si>
    <t>332242SS</t>
  </si>
  <si>
    <t>332242SS ABS DWV 2" TILE SHWR DRN SS ROUND STRNR H BLK</t>
  </si>
  <si>
    <t>332341SS</t>
  </si>
  <si>
    <t>332341SS ABS DWV 1 1/2" TILE SHWR DRN SS SQ STRNR H BLK</t>
  </si>
  <si>
    <t>332342SS</t>
  </si>
  <si>
    <t>332342SS ABS DWV 2" TILE SHWR DRN SS SQ STRNR H BLK CANPLAS</t>
  </si>
  <si>
    <t>332542 ABS DWV 1 1/2 -2" 45D OFFSET DRN FPT H BLK</t>
  </si>
  <si>
    <t>332542SS</t>
  </si>
  <si>
    <t>332542SS ABS DWV 1 1/2 -2" 45D OFFSET DRN FPT SS GRT H</t>
  </si>
  <si>
    <t>332804 ABS DWV 1 1/2" IND W&amp;O PL&amp; CH CHROME CP CANPLAS</t>
  </si>
  <si>
    <t>332804-KIT</t>
  </si>
  <si>
    <t>332804-KIT ABS W&amp;O COVER KIT CHROME CP CANPLAS</t>
  </si>
  <si>
    <t>332804-KITBN</t>
  </si>
  <si>
    <t>332804-KITBN ABS W&amp;O COVER KIT NICKEL BN CANPLAS</t>
  </si>
  <si>
    <t>332804-KITORB</t>
  </si>
  <si>
    <t>332804-KITORB ABS W&amp;O COVER KIT BRONZE ORB CANPLAS</t>
  </si>
  <si>
    <t>332805-8</t>
  </si>
  <si>
    <t>332805-8 ABS L &amp; T STRNR CHROME CPCANPLAS</t>
  </si>
  <si>
    <t>332805-8BN</t>
  </si>
  <si>
    <t>332805-8BN ABS L &amp; T STRNR NICKEL BNCANPLAS</t>
  </si>
  <si>
    <t>332805-8ORB</t>
  </si>
  <si>
    <t>332805-8ORB ABS L &amp; T STRNR BRONZE ORB CANPLAS</t>
  </si>
  <si>
    <t>332806 ABS DWV 1 1/2" IND W&amp;O L &amp; T CHROME CP CANPLAS</t>
  </si>
  <si>
    <t>332807-8</t>
  </si>
  <si>
    <t>332807-8 CHR-PLATED ZINC TIP TOE ASSY</t>
  </si>
  <si>
    <t>332807-8BN</t>
  </si>
  <si>
    <t>332807-8BN ABS POP UP STRNR NICKEL BN CANPLAS</t>
  </si>
  <si>
    <t>332807-8ORB</t>
  </si>
  <si>
    <t>332807-8ORB ABS POP UP STRNR BRONZE ORB CANPLAS</t>
  </si>
  <si>
    <t>332807-9</t>
  </si>
  <si>
    <t>332807-9 ABS POP UP STRNR CHROME CP CANPLAS</t>
  </si>
  <si>
    <t>332903R</t>
  </si>
  <si>
    <t>332903R ABS DWV 1 1/2" CONV W&amp;O W/ PIPE PL &amp; CH CHROME CP</t>
  </si>
  <si>
    <t>332904 ABS DWV 1 1/2" CONV W&amp;O PL &amp; CH CHROME CP CANPLAS</t>
  </si>
  <si>
    <t>332905R</t>
  </si>
  <si>
    <t>332905R ABS DWV 1 1/2" CONV W&amp;O W/ PIPE L &amp; T CHROME CP</t>
  </si>
  <si>
    <t>332906 ABS DWV 1 1/2" CONV W&amp;O L&amp; T CHROME CP CANPLAS</t>
  </si>
  <si>
    <t>332907R</t>
  </si>
  <si>
    <t>332907R ABS DWV 1 1/2" CONV W&amp;O W/ PIPE POP UP CHROME CP</t>
  </si>
  <si>
    <t>332908 ABS DWV 1 1/2" CONV W&amp;O POP UP CHROME CP CANPLAS</t>
  </si>
  <si>
    <t>332925BN</t>
  </si>
  <si>
    <t>332925BN ABS DWV 1 1/2" W&amp;O HALF KIT L &amp; T NICKEL BN</t>
  </si>
  <si>
    <t>332925LCP</t>
  </si>
  <si>
    <t>332925LCP ABS DWV 1 1/2" W&amp;O HALF KIT L &amp; T CHROME CP</t>
  </si>
  <si>
    <t>333054BR</t>
  </si>
  <si>
    <t>333054BR BRASS 4" RAISED HD C/O PLUG MPT BRS CANPLAS</t>
  </si>
  <si>
    <t>333056BR</t>
  </si>
  <si>
    <t>333056BR BRASS 3 1/2" RAISED HD C/O PLUG MPT BRS CANPLAS</t>
  </si>
  <si>
    <t>333064BR</t>
  </si>
  <si>
    <t>333064BR BRASS 4" REC HD C/O PLUG MPT BRS CANPLAS</t>
  </si>
  <si>
    <t>333068BR</t>
  </si>
  <si>
    <t>333068BR BRASS 6" REC HD C/O PLUG MPT BRS CANPLAS</t>
  </si>
  <si>
    <t>Price List Name</t>
  </si>
  <si>
    <t>Product Number</t>
  </si>
  <si>
    <t>Product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</si>
</sst>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15" fontId="0" fillId="0" borderId="0" xfId="0" applyNumberFormat="1" applyAlignment="1">
      <alignment horizontal="left"/>
    </xf>
    <xf numFmtId="0" fontId="0" fillId="0" borderId="0" xfId="0" applyFill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9"/>
  <sheetViews>
    <sheetView tabSelected="1" workbookViewId="0">
      <selection activeCell="C33" sqref="C33"/>
    </sheetView>
  </sheetViews>
  <sheetFormatPr defaultColWidth="8.81640625" defaultRowHeight="14.5" x14ac:dyDescent="0.35"/>
  <cols>
    <col min="1" max="1" width="11.81640625" style="1" customWidth="1"/>
    <col min="2" max="2" width="15.453125" style="1" customWidth="1"/>
    <col min="3" max="3" width="14.6328125" style="1" bestFit="1" customWidth="1"/>
    <col min="4" max="4" width="60.453125" style="1" bestFit="1" customWidth="1"/>
    <col min="5" max="10" width="11.81640625" style="1" customWidth="1"/>
  </cols>
  <sheetData>
    <row r="1" spans="1:10" ht="29" x14ac:dyDescent="0.35">
      <c r="A1" s="1" t="s">
        <v>297</v>
      </c>
      <c r="B1" s="1" t="s">
        <v>0</v>
      </c>
      <c r="C1" s="1" t="s">
        <v>298</v>
      </c>
      <c r="D1" s="1" t="s">
        <v>299</v>
      </c>
      <c r="E1" s="1" t="s">
        <v>1</v>
      </c>
      <c r="F1" s="1" t="s">
        <v>2</v>
      </c>
      <c r="G1" s="2" t="s">
        <v>3</v>
      </c>
      <c r="H1" s="1" t="s">
        <v>4</v>
      </c>
      <c r="I1" s="1" t="s">
        <v>5</v>
      </c>
      <c r="J1" s="1" t="s">
        <v>6</v>
      </c>
    </row>
    <row r="2" spans="1:10" x14ac:dyDescent="0.35">
      <c r="A2" s="1" t="s">
        <v>7</v>
      </c>
      <c r="B2" s="1" t="str">
        <f>("662671120380")</f>
        <v>662671120380</v>
      </c>
      <c r="C2" s="4">
        <v>123272</v>
      </c>
      <c r="D2" s="1" t="s">
        <v>8</v>
      </c>
      <c r="E2" s="1">
        <v>250.28</v>
      </c>
      <c r="F2" s="3">
        <v>45323</v>
      </c>
      <c r="G2" s="1">
        <v>0.87</v>
      </c>
      <c r="H2" s="1" t="str">
        <f>("10662671120387")</f>
        <v>10662671120387</v>
      </c>
      <c r="I2" s="1">
        <v>1</v>
      </c>
      <c r="J2" s="1">
        <v>128</v>
      </c>
    </row>
    <row r="3" spans="1:10" x14ac:dyDescent="0.35">
      <c r="A3" s="1" t="s">
        <v>7</v>
      </c>
      <c r="B3" s="1" t="str">
        <f>("662671120014")</f>
        <v>662671120014</v>
      </c>
      <c r="C3" s="4">
        <v>123281</v>
      </c>
      <c r="D3" s="1" t="s">
        <v>9</v>
      </c>
      <c r="E3" s="1">
        <v>127.81</v>
      </c>
      <c r="F3" s="3">
        <v>45323</v>
      </c>
      <c r="G3" s="1">
        <v>0.23400000000000001</v>
      </c>
      <c r="H3" s="1" t="str">
        <f>("10662671120011")</f>
        <v>10662671120011</v>
      </c>
      <c r="I3" s="1">
        <v>15</v>
      </c>
      <c r="J3" s="1">
        <v>1080</v>
      </c>
    </row>
    <row r="4" spans="1:10" x14ac:dyDescent="0.35">
      <c r="A4" s="1" t="s">
        <v>7</v>
      </c>
      <c r="B4" s="1" t="str">
        <f>("662671120403")</f>
        <v>662671120403</v>
      </c>
      <c r="C4" s="4" t="s">
        <v>10</v>
      </c>
      <c r="D4" s="1" t="s">
        <v>11</v>
      </c>
      <c r="E4" s="1">
        <v>72.8</v>
      </c>
      <c r="F4" s="3">
        <v>45323</v>
      </c>
      <c r="G4" s="1">
        <v>2.1000000000000001E-2</v>
      </c>
      <c r="H4" s="1" t="str">
        <f>("10662671120400")</f>
        <v>10662671120400</v>
      </c>
      <c r="I4" s="1">
        <v>500</v>
      </c>
      <c r="J4" s="1">
        <v>16000</v>
      </c>
    </row>
    <row r="5" spans="1:10" x14ac:dyDescent="0.35">
      <c r="A5" s="1" t="s">
        <v>7</v>
      </c>
      <c r="B5" s="1" t="str">
        <f>("662671120618")</f>
        <v>662671120618</v>
      </c>
      <c r="C5" s="4" t="s">
        <v>12</v>
      </c>
      <c r="D5" s="1" t="s">
        <v>13</v>
      </c>
      <c r="E5" s="1">
        <v>33.450000000000003</v>
      </c>
      <c r="F5" s="3">
        <v>45323</v>
      </c>
      <c r="G5" s="1">
        <v>9.6000000000000002E-2</v>
      </c>
      <c r="H5" s="1" t="str">
        <f>("90662671120611")</f>
        <v>90662671120611</v>
      </c>
      <c r="I5" s="1">
        <v>0</v>
      </c>
    </row>
    <row r="6" spans="1:10" x14ac:dyDescent="0.35">
      <c r="A6" s="1" t="s">
        <v>7</v>
      </c>
      <c r="B6" s="1" t="str">
        <f>("662671120625")</f>
        <v>662671120625</v>
      </c>
      <c r="C6" s="4" t="s">
        <v>14</v>
      </c>
      <c r="D6" s="1" t="s">
        <v>15</v>
      </c>
      <c r="E6" s="1">
        <v>2.93</v>
      </c>
      <c r="F6" s="3">
        <v>45323</v>
      </c>
      <c r="G6" s="1">
        <v>3.3000000000000002E-2</v>
      </c>
      <c r="H6" s="1" t="str">
        <f>("00662671120625")</f>
        <v>00662671120625</v>
      </c>
      <c r="I6" s="1">
        <v>1</v>
      </c>
    </row>
    <row r="7" spans="1:10" x14ac:dyDescent="0.35">
      <c r="A7" s="1" t="s">
        <v>7</v>
      </c>
      <c r="B7" s="1" t="str">
        <f>("662671120021")</f>
        <v>662671120021</v>
      </c>
      <c r="C7" s="4">
        <v>123282</v>
      </c>
      <c r="D7" s="1" t="s">
        <v>16</v>
      </c>
      <c r="E7" s="1">
        <v>196.69</v>
      </c>
      <c r="F7" s="3">
        <v>45323</v>
      </c>
      <c r="G7" s="1">
        <v>0.253</v>
      </c>
      <c r="H7" s="1" t="str">
        <f>("10662671120028")</f>
        <v>10662671120028</v>
      </c>
      <c r="I7" s="1">
        <v>15</v>
      </c>
      <c r="J7" s="1">
        <v>1080</v>
      </c>
    </row>
    <row r="8" spans="1:10" x14ac:dyDescent="0.35">
      <c r="A8" s="1" t="s">
        <v>7</v>
      </c>
      <c r="B8" s="1" t="str">
        <f>("662671120038")</f>
        <v>662671120038</v>
      </c>
      <c r="C8" s="4">
        <v>123283</v>
      </c>
      <c r="D8" s="1" t="s">
        <v>17</v>
      </c>
      <c r="E8" s="1">
        <v>216.34</v>
      </c>
      <c r="F8" s="3">
        <v>45323</v>
      </c>
      <c r="G8" s="1">
        <v>0.626</v>
      </c>
      <c r="H8" s="1" t="str">
        <f>("10662671120035")</f>
        <v>10662671120035</v>
      </c>
      <c r="I8" s="1">
        <v>10</v>
      </c>
      <c r="J8" s="1">
        <v>320</v>
      </c>
    </row>
    <row r="9" spans="1:10" x14ac:dyDescent="0.35">
      <c r="A9" s="1" t="s">
        <v>7</v>
      </c>
      <c r="B9" s="1" t="str">
        <f>("662671120410")</f>
        <v>662671120410</v>
      </c>
      <c r="C9" s="4" t="s">
        <v>18</v>
      </c>
      <c r="D9" s="1" t="s">
        <v>19</v>
      </c>
      <c r="E9" s="1">
        <v>15.72</v>
      </c>
      <c r="F9" s="3">
        <v>45323</v>
      </c>
      <c r="G9" s="1">
        <v>2.9000000000000001E-2</v>
      </c>
      <c r="H9" s="1" t="str">
        <f>("10662671120417")</f>
        <v>10662671120417</v>
      </c>
      <c r="I9" s="1">
        <v>90</v>
      </c>
      <c r="J9" s="1">
        <v>12960</v>
      </c>
    </row>
    <row r="10" spans="1:10" x14ac:dyDescent="0.35">
      <c r="A10" s="1" t="s">
        <v>7</v>
      </c>
      <c r="B10" s="1" t="str">
        <f>("662671120601")</f>
        <v>662671120601</v>
      </c>
      <c r="C10" s="4" t="s">
        <v>20</v>
      </c>
      <c r="D10" s="1" t="s">
        <v>21</v>
      </c>
      <c r="E10" s="1">
        <v>27.54</v>
      </c>
      <c r="F10" s="3">
        <v>45323</v>
      </c>
      <c r="G10" s="1">
        <v>0.14000000000000001</v>
      </c>
      <c r="H10" s="1" t="str">
        <f>("10662671120608")</f>
        <v>10662671120608</v>
      </c>
      <c r="I10" s="1">
        <v>50</v>
      </c>
      <c r="J10" s="1">
        <v>1600</v>
      </c>
    </row>
    <row r="11" spans="1:10" x14ac:dyDescent="0.35">
      <c r="A11" s="1" t="s">
        <v>7</v>
      </c>
      <c r="B11" s="1" t="str">
        <f>("662671120632")</f>
        <v>662671120632</v>
      </c>
      <c r="C11" s="4" t="s">
        <v>22</v>
      </c>
      <c r="D11" s="1" t="s">
        <v>23</v>
      </c>
      <c r="E11" s="1">
        <v>4.3099999999999996</v>
      </c>
      <c r="F11" s="3">
        <v>45323</v>
      </c>
      <c r="G11" s="1">
        <v>5.0000000000000001E-3</v>
      </c>
      <c r="H11" s="1" t="str">
        <f>("00662671120632")</f>
        <v>00662671120632</v>
      </c>
      <c r="I11" s="1">
        <v>1</v>
      </c>
    </row>
    <row r="12" spans="1:10" x14ac:dyDescent="0.35">
      <c r="A12" s="1" t="s">
        <v>7</v>
      </c>
      <c r="B12" s="1" t="str">
        <f>("662671120694")</f>
        <v>662671120694</v>
      </c>
      <c r="C12" s="4" t="s">
        <v>24</v>
      </c>
      <c r="D12" s="1" t="s">
        <v>25</v>
      </c>
      <c r="E12" s="1">
        <v>3.74</v>
      </c>
      <c r="F12" s="3">
        <v>45323</v>
      </c>
      <c r="G12" s="1">
        <v>3.0000000000000001E-3</v>
      </c>
      <c r="H12" s="1" t="str">
        <f>("00662671120694")</f>
        <v>00662671120694</v>
      </c>
      <c r="I12" s="1">
        <v>1</v>
      </c>
    </row>
    <row r="13" spans="1:10" x14ac:dyDescent="0.35">
      <c r="A13" s="1" t="s">
        <v>7</v>
      </c>
      <c r="B13" s="1" t="str">
        <f>("662671120069")</f>
        <v>662671120069</v>
      </c>
      <c r="C13" s="4">
        <v>123284</v>
      </c>
      <c r="D13" s="1" t="s">
        <v>26</v>
      </c>
      <c r="E13" s="1">
        <v>236.04</v>
      </c>
      <c r="F13" s="3">
        <v>45323</v>
      </c>
      <c r="G13" s="1">
        <v>1.129</v>
      </c>
      <c r="H13" s="1" t="str">
        <f>("10662671120066")</f>
        <v>10662671120066</v>
      </c>
      <c r="I13" s="1">
        <v>4</v>
      </c>
      <c r="J13" s="1">
        <v>128</v>
      </c>
    </row>
    <row r="14" spans="1:10" x14ac:dyDescent="0.35">
      <c r="A14" s="1" t="s">
        <v>7</v>
      </c>
      <c r="B14" s="1" t="str">
        <f>("662671120427")</f>
        <v>662671120427</v>
      </c>
      <c r="C14" s="4" t="s">
        <v>27</v>
      </c>
      <c r="D14" s="1" t="s">
        <v>28</v>
      </c>
      <c r="E14" s="1">
        <v>19.68</v>
      </c>
      <c r="F14" s="3">
        <v>45323</v>
      </c>
      <c r="G14" s="1">
        <v>5.1999999999999998E-2</v>
      </c>
      <c r="H14" s="1" t="str">
        <f>("10662671120424")</f>
        <v>10662671120424</v>
      </c>
      <c r="I14" s="1">
        <v>90</v>
      </c>
      <c r="J14" s="1">
        <v>6480</v>
      </c>
    </row>
    <row r="15" spans="1:10" x14ac:dyDescent="0.35">
      <c r="A15" s="1" t="s">
        <v>7</v>
      </c>
      <c r="B15" s="1" t="str">
        <f>("662671120595")</f>
        <v>662671120595</v>
      </c>
      <c r="C15" s="4" t="s">
        <v>29</v>
      </c>
      <c r="D15" s="1" t="s">
        <v>30</v>
      </c>
      <c r="E15" s="1">
        <v>42.89</v>
      </c>
      <c r="F15" s="3">
        <v>45323</v>
      </c>
      <c r="G15" s="1">
        <v>0.25700000000000001</v>
      </c>
      <c r="H15" s="1" t="str">
        <f>("10662671120592")</f>
        <v>10662671120592</v>
      </c>
      <c r="I15" s="1">
        <v>35</v>
      </c>
      <c r="J15" s="1">
        <v>1120</v>
      </c>
    </row>
    <row r="16" spans="1:10" x14ac:dyDescent="0.35">
      <c r="A16" s="1" t="s">
        <v>7</v>
      </c>
      <c r="B16" s="1" t="str">
        <f>("662671120090")</f>
        <v>662671120090</v>
      </c>
      <c r="C16" s="4">
        <v>123285</v>
      </c>
      <c r="D16" s="1" t="s">
        <v>31</v>
      </c>
      <c r="E16" s="1">
        <v>275.39</v>
      </c>
      <c r="F16" s="3">
        <v>45323</v>
      </c>
      <c r="G16" s="1">
        <v>2.5259999999999998</v>
      </c>
      <c r="H16" s="1" t="str">
        <f>("10662671120097")</f>
        <v>10662671120097</v>
      </c>
      <c r="I16" s="1">
        <v>1</v>
      </c>
      <c r="J16" s="1">
        <v>45</v>
      </c>
    </row>
    <row r="17" spans="1:10" x14ac:dyDescent="0.35">
      <c r="A17" s="1" t="s">
        <v>7</v>
      </c>
      <c r="B17" s="1" t="str">
        <f>("662671120526")</f>
        <v>662671120526</v>
      </c>
      <c r="C17" s="4" t="s">
        <v>32</v>
      </c>
      <c r="D17" s="1" t="s">
        <v>33</v>
      </c>
      <c r="E17" s="1">
        <v>34.840000000000003</v>
      </c>
      <c r="F17" s="3">
        <v>45323</v>
      </c>
      <c r="G17" s="1">
        <v>0.16</v>
      </c>
      <c r="H17" s="1" t="str">
        <f>("10662671120523")</f>
        <v>10662671120523</v>
      </c>
      <c r="I17" s="1">
        <v>1</v>
      </c>
    </row>
    <row r="18" spans="1:10" x14ac:dyDescent="0.35">
      <c r="A18" s="1" t="s">
        <v>7</v>
      </c>
      <c r="B18" s="1" t="str">
        <f>("662671120533")</f>
        <v>662671120533</v>
      </c>
      <c r="C18" s="4" t="s">
        <v>34</v>
      </c>
      <c r="D18" s="1" t="s">
        <v>35</v>
      </c>
      <c r="E18" s="1">
        <v>129.80000000000001</v>
      </c>
      <c r="F18" s="3">
        <v>45323</v>
      </c>
      <c r="G18" s="1">
        <v>1.202</v>
      </c>
      <c r="H18" s="1" t="str">
        <f>("10662671120530")</f>
        <v>10662671120530</v>
      </c>
      <c r="I18" s="1">
        <v>44</v>
      </c>
    </row>
    <row r="19" spans="1:10" x14ac:dyDescent="0.35">
      <c r="A19" s="1" t="s">
        <v>7</v>
      </c>
      <c r="B19" s="1" t="str">
        <f>("662671120199")</f>
        <v>662671120199</v>
      </c>
      <c r="C19" s="4">
        <v>123286</v>
      </c>
      <c r="D19" s="1" t="s">
        <v>36</v>
      </c>
      <c r="E19" s="1">
        <v>590.08000000000004</v>
      </c>
      <c r="F19" s="3">
        <v>45323</v>
      </c>
      <c r="G19" s="1">
        <v>3.0649999999999999</v>
      </c>
      <c r="H19" s="1" t="str">
        <f>("10662671120196")</f>
        <v>10662671120196</v>
      </c>
      <c r="I19" s="1">
        <v>1</v>
      </c>
      <c r="J19" s="1">
        <v>48</v>
      </c>
    </row>
    <row r="20" spans="1:10" x14ac:dyDescent="0.35">
      <c r="A20" s="1" t="s">
        <v>7</v>
      </c>
      <c r="B20" s="1" t="str">
        <f>("662671120434")</f>
        <v>662671120434</v>
      </c>
      <c r="C20" s="4" t="s">
        <v>37</v>
      </c>
      <c r="D20" s="1" t="s">
        <v>38</v>
      </c>
      <c r="E20" s="1">
        <v>74.739999999999995</v>
      </c>
      <c r="F20" s="3">
        <v>45323</v>
      </c>
      <c r="G20" s="1">
        <v>0.217</v>
      </c>
      <c r="H20" s="1" t="str">
        <f>("10662671120431")</f>
        <v>10662671120431</v>
      </c>
      <c r="I20" s="1">
        <v>25</v>
      </c>
    </row>
    <row r="21" spans="1:10" x14ac:dyDescent="0.35">
      <c r="A21" s="1" t="s">
        <v>7</v>
      </c>
      <c r="B21" s="1" t="str">
        <f>("662671120656")</f>
        <v>662671120656</v>
      </c>
      <c r="C21" s="4" t="s">
        <v>39</v>
      </c>
      <c r="D21" s="1" t="s">
        <v>40</v>
      </c>
      <c r="E21" s="1">
        <v>137.66999999999999</v>
      </c>
      <c r="F21" s="3">
        <v>45323</v>
      </c>
      <c r="G21" s="1">
        <v>0.65900000000000003</v>
      </c>
      <c r="H21" s="1" t="str">
        <f>("10662671120653")</f>
        <v>10662671120653</v>
      </c>
      <c r="I21" s="1">
        <v>10</v>
      </c>
      <c r="J21" s="1">
        <v>480</v>
      </c>
    </row>
    <row r="22" spans="1:10" x14ac:dyDescent="0.35">
      <c r="A22" s="1" t="s">
        <v>7</v>
      </c>
      <c r="B22" s="1" t="str">
        <f>("662671120663")</f>
        <v>662671120663</v>
      </c>
      <c r="C22" s="4" t="s">
        <v>41</v>
      </c>
      <c r="D22" s="1" t="s">
        <v>42</v>
      </c>
      <c r="E22" s="1">
        <v>25.58</v>
      </c>
      <c r="F22" s="3">
        <v>45323</v>
      </c>
      <c r="G22" s="1">
        <v>8.9999999999999993E-3</v>
      </c>
      <c r="H22" s="1" t="str">
        <f>("00662671120663")</f>
        <v>00662671120663</v>
      </c>
      <c r="I22" s="1">
        <v>1</v>
      </c>
    </row>
    <row r="23" spans="1:10" x14ac:dyDescent="0.35">
      <c r="A23" s="1" t="s">
        <v>7</v>
      </c>
      <c r="B23" s="1" t="str">
        <f>("662671120106")</f>
        <v>662671120106</v>
      </c>
      <c r="C23" s="4">
        <v>123287</v>
      </c>
      <c r="D23" s="1" t="s">
        <v>43</v>
      </c>
      <c r="E23" s="1">
        <v>255.68</v>
      </c>
      <c r="F23" s="3">
        <v>45323</v>
      </c>
      <c r="G23" s="1">
        <v>1.395</v>
      </c>
      <c r="H23" s="1" t="str">
        <f>("10662671120103")</f>
        <v>10662671120103</v>
      </c>
      <c r="I23" s="1">
        <v>1</v>
      </c>
      <c r="J23" s="1">
        <v>84</v>
      </c>
    </row>
    <row r="24" spans="1:10" x14ac:dyDescent="0.35">
      <c r="A24" s="1" t="s">
        <v>7</v>
      </c>
      <c r="B24" s="1" t="str">
        <f>("662671120335")</f>
        <v>662671120335</v>
      </c>
      <c r="C24" s="4" t="s">
        <v>44</v>
      </c>
      <c r="D24" s="1" t="s">
        <v>45</v>
      </c>
      <c r="E24" s="1">
        <v>29.51</v>
      </c>
      <c r="F24" s="3">
        <v>45323</v>
      </c>
      <c r="G24" s="1">
        <v>8.6999999999999994E-2</v>
      </c>
      <c r="H24" s="1" t="str">
        <f>("10662671120332")</f>
        <v>10662671120332</v>
      </c>
      <c r="I24" s="1">
        <v>1</v>
      </c>
    </row>
    <row r="25" spans="1:10" x14ac:dyDescent="0.35">
      <c r="A25" s="1" t="s">
        <v>7</v>
      </c>
      <c r="B25" s="1" t="str">
        <f>("662671120540")</f>
        <v>662671120540</v>
      </c>
      <c r="C25" s="4" t="s">
        <v>46</v>
      </c>
      <c r="D25" s="1" t="s">
        <v>47</v>
      </c>
      <c r="E25" s="1">
        <v>100.24</v>
      </c>
      <c r="F25" s="3">
        <v>45323</v>
      </c>
      <c r="G25" s="1">
        <v>0.68300000000000005</v>
      </c>
      <c r="H25" s="1" t="str">
        <f>("10662671120547")</f>
        <v>10662671120547</v>
      </c>
      <c r="I25" s="1">
        <v>94</v>
      </c>
    </row>
    <row r="26" spans="1:10" x14ac:dyDescent="0.35">
      <c r="A26" s="1" t="s">
        <v>7</v>
      </c>
      <c r="B26" s="1" t="str">
        <f>("662671120113")</f>
        <v>662671120113</v>
      </c>
      <c r="C26" s="4">
        <v>123293</v>
      </c>
      <c r="D26" s="1" t="s">
        <v>48</v>
      </c>
      <c r="E26" s="1">
        <v>314.70999999999998</v>
      </c>
      <c r="F26" s="3">
        <v>45323</v>
      </c>
      <c r="G26" s="1">
        <v>0.59099999999999997</v>
      </c>
      <c r="H26" s="1" t="str">
        <f>("10662671120110")</f>
        <v>10662671120110</v>
      </c>
      <c r="I26" s="1">
        <v>15</v>
      </c>
      <c r="J26" s="1">
        <v>270</v>
      </c>
    </row>
    <row r="27" spans="1:10" x14ac:dyDescent="0.35">
      <c r="A27" s="1" t="s">
        <v>7</v>
      </c>
      <c r="B27" s="1" t="str">
        <f>("662671120120")</f>
        <v>662671120120</v>
      </c>
      <c r="C27" s="4" t="s">
        <v>49</v>
      </c>
      <c r="D27" s="1" t="s">
        <v>50</v>
      </c>
      <c r="E27" s="1">
        <v>472.06</v>
      </c>
      <c r="F27" s="3">
        <v>45323</v>
      </c>
      <c r="G27" s="1">
        <v>1.484</v>
      </c>
      <c r="H27" s="1" t="str">
        <f>("10662671120127")</f>
        <v>10662671120127</v>
      </c>
      <c r="I27" s="1">
        <v>6</v>
      </c>
      <c r="J27" s="1">
        <v>108</v>
      </c>
    </row>
    <row r="28" spans="1:10" x14ac:dyDescent="0.35">
      <c r="A28" s="1" t="s">
        <v>7</v>
      </c>
      <c r="B28" s="1" t="str">
        <f>("662671120366")</f>
        <v>662671120366</v>
      </c>
      <c r="C28" s="4">
        <v>123302</v>
      </c>
      <c r="D28" s="1" t="s">
        <v>51</v>
      </c>
      <c r="E28" s="1">
        <v>83.6</v>
      </c>
      <c r="F28" s="3">
        <v>45323</v>
      </c>
      <c r="G28" s="1">
        <v>0.26200000000000001</v>
      </c>
      <c r="H28" s="1" t="str">
        <f>("10662671120363")</f>
        <v>10662671120363</v>
      </c>
      <c r="I28" s="1">
        <v>10</v>
      </c>
      <c r="J28" s="1">
        <v>1440</v>
      </c>
    </row>
    <row r="29" spans="1:10" x14ac:dyDescent="0.35">
      <c r="A29" s="1" t="s">
        <v>7</v>
      </c>
      <c r="B29" s="1" t="str">
        <f>("662671120397")</f>
        <v>662671120397</v>
      </c>
      <c r="C29" s="4" t="s">
        <v>52</v>
      </c>
      <c r="D29" s="1" t="s">
        <v>53</v>
      </c>
      <c r="E29" s="1">
        <v>23.39</v>
      </c>
      <c r="F29" s="3">
        <v>45323</v>
      </c>
      <c r="G29" s="1">
        <v>4.8000000000000001E-2</v>
      </c>
      <c r="H29" s="1" t="str">
        <f>("10662671120394")</f>
        <v>10662671120394</v>
      </c>
      <c r="I29" s="1">
        <v>100</v>
      </c>
    </row>
    <row r="30" spans="1:10" x14ac:dyDescent="0.35">
      <c r="A30" s="1" t="s">
        <v>7</v>
      </c>
      <c r="B30" s="1" t="str">
        <f>("662671120342")</f>
        <v>662671120342</v>
      </c>
      <c r="C30" s="4">
        <v>123303</v>
      </c>
      <c r="D30" s="1" t="s">
        <v>54</v>
      </c>
      <c r="E30" s="1">
        <v>64.930000000000007</v>
      </c>
      <c r="F30" s="3">
        <v>45323</v>
      </c>
      <c r="G30" s="1">
        <v>0.218</v>
      </c>
      <c r="H30" s="1" t="str">
        <f>("10662671120349")</f>
        <v>10662671120349</v>
      </c>
      <c r="I30" s="1">
        <v>15</v>
      </c>
      <c r="J30" s="1">
        <v>1080</v>
      </c>
    </row>
    <row r="31" spans="1:10" x14ac:dyDescent="0.35">
      <c r="A31" s="1" t="s">
        <v>7</v>
      </c>
      <c r="B31" s="1" t="str">
        <f>("662671120687")</f>
        <v>662671120687</v>
      </c>
      <c r="C31" s="4" t="s">
        <v>55</v>
      </c>
      <c r="D31" s="1" t="s">
        <v>56</v>
      </c>
      <c r="E31" s="1">
        <v>29.51</v>
      </c>
      <c r="F31" s="3">
        <v>45323</v>
      </c>
      <c r="G31" s="1">
        <v>0.113</v>
      </c>
      <c r="H31" s="1" t="str">
        <f>("00662671120687")</f>
        <v>00662671120687</v>
      </c>
      <c r="I31" s="1">
        <v>1</v>
      </c>
    </row>
    <row r="32" spans="1:10" x14ac:dyDescent="0.35">
      <c r="A32" s="1" t="s">
        <v>7</v>
      </c>
      <c r="B32" s="1" t="str">
        <f>("662671120359")</f>
        <v>662671120359</v>
      </c>
      <c r="C32" s="4">
        <v>123304</v>
      </c>
      <c r="D32" s="1" t="s">
        <v>57</v>
      </c>
      <c r="E32" s="1">
        <v>98.34</v>
      </c>
      <c r="F32" s="3">
        <v>45323</v>
      </c>
      <c r="G32" s="1">
        <v>0.432</v>
      </c>
      <c r="H32" s="1" t="str">
        <f>("10662671120356")</f>
        <v>10662671120356</v>
      </c>
      <c r="I32" s="1">
        <v>10</v>
      </c>
      <c r="J32" s="1">
        <v>480</v>
      </c>
    </row>
    <row r="33" spans="1:10" x14ac:dyDescent="0.35">
      <c r="A33" s="1" t="s">
        <v>7</v>
      </c>
      <c r="B33" s="1" t="str">
        <f>("662671120670")</f>
        <v>662671120670</v>
      </c>
      <c r="C33" s="4" t="s">
        <v>58</v>
      </c>
      <c r="D33" s="1" t="s">
        <v>59</v>
      </c>
      <c r="E33" s="1">
        <v>41.34</v>
      </c>
      <c r="F33" s="3">
        <v>45323</v>
      </c>
      <c r="G33" s="1">
        <v>0.20799999999999999</v>
      </c>
      <c r="H33" s="1" t="str">
        <f>("90662671120673")</f>
        <v>90662671120673</v>
      </c>
      <c r="I33" s="1">
        <v>0</v>
      </c>
    </row>
    <row r="34" spans="1:10" x14ac:dyDescent="0.35">
      <c r="A34" s="1" t="s">
        <v>7</v>
      </c>
      <c r="B34" s="1" t="str">
        <f>("662671117151")</f>
        <v>662671117151</v>
      </c>
      <c r="C34" s="1">
        <v>13112011</v>
      </c>
      <c r="D34" s="1" t="s">
        <v>60</v>
      </c>
      <c r="E34" s="1">
        <v>58.76</v>
      </c>
      <c r="F34" s="3">
        <v>45323</v>
      </c>
      <c r="G34" s="1">
        <v>0.13900000000000001</v>
      </c>
      <c r="H34" s="1" t="str">
        <f>("10662671117158")</f>
        <v>10662671117158</v>
      </c>
      <c r="I34" s="1">
        <v>10</v>
      </c>
      <c r="J34" s="1">
        <v>1280</v>
      </c>
    </row>
    <row r="35" spans="1:10" x14ac:dyDescent="0.35">
      <c r="A35" s="1" t="s">
        <v>7</v>
      </c>
      <c r="B35" s="1" t="str">
        <f>("662671214188")</f>
        <v>662671214188</v>
      </c>
      <c r="C35" s="1">
        <v>13212011</v>
      </c>
      <c r="D35" s="1" t="s">
        <v>61</v>
      </c>
      <c r="E35" s="1">
        <v>58.76</v>
      </c>
      <c r="F35" s="3">
        <v>45323</v>
      </c>
      <c r="G35" s="1">
        <v>0.157</v>
      </c>
      <c r="H35" s="1" t="str">
        <f>("10662671214185")</f>
        <v>10662671214185</v>
      </c>
      <c r="I35" s="1">
        <v>10</v>
      </c>
    </row>
    <row r="36" spans="1:10" x14ac:dyDescent="0.35">
      <c r="A36" s="1" t="s">
        <v>7</v>
      </c>
      <c r="B36" s="1" t="str">
        <f>("662671130235")</f>
        <v>662671130235</v>
      </c>
      <c r="C36" s="1" t="s">
        <v>62</v>
      </c>
      <c r="D36" s="1" t="s">
        <v>63</v>
      </c>
      <c r="E36" s="1">
        <v>16.27</v>
      </c>
      <c r="F36" s="3">
        <v>45323</v>
      </c>
      <c r="G36" s="1">
        <v>0.13700000000000001</v>
      </c>
      <c r="H36" s="1" t="str">
        <f>("10662671130232")</f>
        <v>10662671130232</v>
      </c>
      <c r="I36" s="1">
        <v>15</v>
      </c>
      <c r="J36" s="1">
        <v>1080</v>
      </c>
    </row>
    <row r="37" spans="1:10" x14ac:dyDescent="0.35">
      <c r="A37" s="1" t="s">
        <v>7</v>
      </c>
      <c r="B37" s="1" t="str">
        <f>("662671130242")</f>
        <v>662671130242</v>
      </c>
      <c r="C37" s="1" t="s">
        <v>64</v>
      </c>
      <c r="D37" s="1" t="s">
        <v>65</v>
      </c>
      <c r="E37" s="1">
        <v>16.27</v>
      </c>
      <c r="F37" s="3">
        <v>45323</v>
      </c>
      <c r="G37" s="1">
        <v>0.13700000000000001</v>
      </c>
      <c r="H37" s="1" t="str">
        <f>("10662671130249")</f>
        <v>10662671130249</v>
      </c>
      <c r="I37" s="1">
        <v>15</v>
      </c>
      <c r="J37" s="1">
        <v>1080</v>
      </c>
    </row>
    <row r="38" spans="1:10" x14ac:dyDescent="0.35">
      <c r="A38" s="1" t="s">
        <v>7</v>
      </c>
      <c r="B38" s="1" t="str">
        <f>("662671130020")</f>
        <v>662671130020</v>
      </c>
      <c r="C38" s="1">
        <v>133608</v>
      </c>
      <c r="D38" s="1" t="s">
        <v>66</v>
      </c>
      <c r="E38" s="1">
        <v>39.950000000000003</v>
      </c>
      <c r="F38" s="3">
        <v>45323</v>
      </c>
      <c r="G38" s="1">
        <v>0.216</v>
      </c>
      <c r="H38" s="1" t="str">
        <f>("10662671130027")</f>
        <v>10662671130027</v>
      </c>
      <c r="I38" s="1">
        <v>15</v>
      </c>
      <c r="J38" s="1">
        <v>2160</v>
      </c>
    </row>
    <row r="39" spans="1:10" x14ac:dyDescent="0.35">
      <c r="A39" s="1" t="s">
        <v>7</v>
      </c>
      <c r="B39" s="1" t="str">
        <f>("662671220233")</f>
        <v>662671220233</v>
      </c>
      <c r="C39" s="1" t="s">
        <v>67</v>
      </c>
      <c r="D39" s="1" t="s">
        <v>68</v>
      </c>
      <c r="E39" s="1">
        <v>212.62</v>
      </c>
      <c r="F39" s="3">
        <v>45323</v>
      </c>
      <c r="G39" s="1">
        <v>0.92600000000000005</v>
      </c>
      <c r="H39" s="1" t="str">
        <f>("10662671220230")</f>
        <v>10662671220230</v>
      </c>
      <c r="I39" s="1">
        <v>1</v>
      </c>
      <c r="J39" s="1">
        <v>128</v>
      </c>
    </row>
    <row r="40" spans="1:10" x14ac:dyDescent="0.35">
      <c r="A40" s="1" t="s">
        <v>7</v>
      </c>
      <c r="B40" s="1" t="str">
        <f>("662671220301")</f>
        <v>662671220301</v>
      </c>
      <c r="C40" s="1">
        <v>223281</v>
      </c>
      <c r="D40" s="1" t="s">
        <v>69</v>
      </c>
      <c r="E40" s="1">
        <v>108.58</v>
      </c>
      <c r="F40" s="3">
        <v>45323</v>
      </c>
      <c r="G40" s="1">
        <v>0.32300000000000001</v>
      </c>
      <c r="H40" s="1" t="str">
        <f>("10662671220308")</f>
        <v>10662671220308</v>
      </c>
      <c r="I40" s="1">
        <v>15</v>
      </c>
      <c r="J40" s="1">
        <v>1080</v>
      </c>
    </row>
    <row r="41" spans="1:10" x14ac:dyDescent="0.35">
      <c r="A41" s="1" t="s">
        <v>7</v>
      </c>
      <c r="B41" s="1" t="str">
        <f>("662671220271")</f>
        <v>662671220271</v>
      </c>
      <c r="C41" s="1" t="s">
        <v>70</v>
      </c>
      <c r="D41" s="1" t="s">
        <v>71</v>
      </c>
      <c r="E41" s="1">
        <v>61.81</v>
      </c>
      <c r="F41" s="3">
        <v>45323</v>
      </c>
      <c r="G41" s="1">
        <v>2.7E-2</v>
      </c>
      <c r="H41" s="1" t="str">
        <f>("10662671220278")</f>
        <v>10662671220278</v>
      </c>
      <c r="I41" s="1">
        <v>500</v>
      </c>
    </row>
    <row r="42" spans="1:10" x14ac:dyDescent="0.35">
      <c r="A42" s="1" t="s">
        <v>7</v>
      </c>
      <c r="B42" s="1" t="str">
        <f>("662671220387")</f>
        <v>662671220387</v>
      </c>
      <c r="C42" s="1" t="s">
        <v>72</v>
      </c>
      <c r="D42" s="1" t="s">
        <v>73</v>
      </c>
      <c r="E42" s="1">
        <v>28.42</v>
      </c>
      <c r="F42" s="3">
        <v>45323</v>
      </c>
      <c r="G42" s="1">
        <v>0.12</v>
      </c>
      <c r="H42" s="1" t="str">
        <f>("10662671220384")</f>
        <v>10662671220384</v>
      </c>
      <c r="I42" s="1">
        <v>125</v>
      </c>
    </row>
    <row r="43" spans="1:10" x14ac:dyDescent="0.35">
      <c r="A43" s="1" t="s">
        <v>7</v>
      </c>
      <c r="B43" s="1" t="str">
        <f>("662671220011")</f>
        <v>662671220011</v>
      </c>
      <c r="C43" s="1" t="s">
        <v>74</v>
      </c>
      <c r="D43" s="1" t="s">
        <v>75</v>
      </c>
      <c r="E43" s="1">
        <v>108.58</v>
      </c>
      <c r="F43" s="3">
        <v>45323</v>
      </c>
      <c r="G43" s="1">
        <v>0.32200000000000001</v>
      </c>
      <c r="H43" s="1" t="str">
        <f>("10662671220018")</f>
        <v>10662671220018</v>
      </c>
      <c r="I43" s="1">
        <v>15</v>
      </c>
      <c r="J43" s="1">
        <v>1080</v>
      </c>
    </row>
    <row r="44" spans="1:10" x14ac:dyDescent="0.35">
      <c r="A44" s="1" t="s">
        <v>7</v>
      </c>
      <c r="B44" s="1" t="str">
        <f>("662671220318")</f>
        <v>662671220318</v>
      </c>
      <c r="C44" s="1">
        <v>223282</v>
      </c>
      <c r="D44" s="1" t="s">
        <v>76</v>
      </c>
      <c r="E44" s="1">
        <v>167.08</v>
      </c>
      <c r="F44" s="3">
        <v>45323</v>
      </c>
      <c r="G44" s="1">
        <v>0.32500000000000001</v>
      </c>
      <c r="H44" s="1" t="str">
        <f>("10662671220315")</f>
        <v>10662671220315</v>
      </c>
      <c r="I44" s="1">
        <v>15</v>
      </c>
      <c r="J44" s="1">
        <v>1080</v>
      </c>
    </row>
    <row r="45" spans="1:10" x14ac:dyDescent="0.35">
      <c r="A45" s="1" t="s">
        <v>7</v>
      </c>
      <c r="B45" s="1" t="str">
        <f>("662671220028")</f>
        <v>662671220028</v>
      </c>
      <c r="C45" s="1" t="s">
        <v>77</v>
      </c>
      <c r="D45" s="1" t="s">
        <v>78</v>
      </c>
      <c r="E45" s="1">
        <v>167.08</v>
      </c>
      <c r="F45" s="3">
        <v>45323</v>
      </c>
      <c r="G45" s="1">
        <v>0.32500000000000001</v>
      </c>
      <c r="H45" s="1" t="str">
        <f>("10662671220025")</f>
        <v>10662671220025</v>
      </c>
      <c r="I45" s="1">
        <v>15</v>
      </c>
      <c r="J45" s="1">
        <v>1080</v>
      </c>
    </row>
    <row r="46" spans="1:10" x14ac:dyDescent="0.35">
      <c r="A46" s="1" t="s">
        <v>7</v>
      </c>
      <c r="B46" s="1" t="str">
        <f>("662671220332")</f>
        <v>662671220332</v>
      </c>
      <c r="C46" s="1">
        <v>223283</v>
      </c>
      <c r="D46" s="1" t="s">
        <v>79</v>
      </c>
      <c r="E46" s="1">
        <v>183.83</v>
      </c>
      <c r="F46" s="3">
        <v>45323</v>
      </c>
      <c r="G46" s="1">
        <v>0.80500000000000005</v>
      </c>
      <c r="H46" s="1" t="str">
        <f>("10662671220339")</f>
        <v>10662671220339</v>
      </c>
      <c r="I46" s="1">
        <v>10</v>
      </c>
      <c r="J46" s="1">
        <v>320</v>
      </c>
    </row>
    <row r="47" spans="1:10" x14ac:dyDescent="0.35">
      <c r="A47" s="1" t="s">
        <v>7</v>
      </c>
      <c r="B47" s="1" t="str">
        <f>("662671220394")</f>
        <v>662671220394</v>
      </c>
      <c r="C47" s="1" t="s">
        <v>80</v>
      </c>
      <c r="D47" s="1" t="s">
        <v>81</v>
      </c>
      <c r="E47" s="1">
        <v>31.74</v>
      </c>
      <c r="F47" s="3">
        <v>45323</v>
      </c>
      <c r="G47" s="1">
        <v>0.2</v>
      </c>
      <c r="H47" s="1" t="str">
        <f>("10662671220391")</f>
        <v>10662671220391</v>
      </c>
      <c r="I47" s="1">
        <v>50</v>
      </c>
    </row>
    <row r="48" spans="1:10" x14ac:dyDescent="0.35">
      <c r="A48" s="1" t="s">
        <v>7</v>
      </c>
      <c r="B48" s="1" t="str">
        <f>("662671220035")</f>
        <v>662671220035</v>
      </c>
      <c r="C48" s="1" t="s">
        <v>82</v>
      </c>
      <c r="D48" s="1" t="s">
        <v>83</v>
      </c>
      <c r="E48" s="1">
        <v>183.83</v>
      </c>
      <c r="F48" s="3">
        <v>45323</v>
      </c>
      <c r="G48" s="1">
        <v>0.82899999999999996</v>
      </c>
      <c r="H48" s="1" t="str">
        <f>("10662671220032")</f>
        <v>10662671220032</v>
      </c>
      <c r="I48" s="1">
        <v>10</v>
      </c>
      <c r="J48" s="1">
        <v>320</v>
      </c>
    </row>
    <row r="49" spans="1:10" x14ac:dyDescent="0.35">
      <c r="A49" s="1" t="s">
        <v>7</v>
      </c>
      <c r="B49" s="1" t="str">
        <f>("662671220349")</f>
        <v>662671220349</v>
      </c>
      <c r="C49" s="1">
        <v>223284</v>
      </c>
      <c r="D49" s="1" t="s">
        <v>84</v>
      </c>
      <c r="E49" s="1">
        <v>200.52</v>
      </c>
      <c r="F49" s="3">
        <v>45323</v>
      </c>
      <c r="G49" s="1">
        <v>1.5469999999999999</v>
      </c>
      <c r="H49" s="1" t="str">
        <f>("10662671220346")</f>
        <v>10662671220346</v>
      </c>
      <c r="I49" s="1">
        <v>4</v>
      </c>
      <c r="J49" s="1">
        <v>128</v>
      </c>
    </row>
    <row r="50" spans="1:10" x14ac:dyDescent="0.35">
      <c r="A50" s="1" t="s">
        <v>7</v>
      </c>
      <c r="B50" s="1" t="str">
        <f>("662671220400")</f>
        <v>662671220400</v>
      </c>
      <c r="C50" s="1" t="s">
        <v>85</v>
      </c>
      <c r="D50" s="1" t="s">
        <v>86</v>
      </c>
      <c r="E50" s="1">
        <v>36.44</v>
      </c>
      <c r="F50" s="3">
        <v>45323</v>
      </c>
      <c r="G50" s="1">
        <v>0.34799999999999998</v>
      </c>
      <c r="H50" s="1" t="str">
        <f>("10662671220407")</f>
        <v>10662671220407</v>
      </c>
      <c r="I50" s="1">
        <v>35</v>
      </c>
    </row>
    <row r="51" spans="1:10" x14ac:dyDescent="0.35">
      <c r="A51" s="1" t="s">
        <v>7</v>
      </c>
      <c r="B51" s="1" t="str">
        <f>("662671220059")</f>
        <v>662671220059</v>
      </c>
      <c r="C51" s="1" t="s">
        <v>87</v>
      </c>
      <c r="D51" s="1" t="s">
        <v>88</v>
      </c>
      <c r="E51" s="1">
        <v>200.52</v>
      </c>
      <c r="F51" s="3">
        <v>45323</v>
      </c>
      <c r="G51" s="1">
        <v>1.552</v>
      </c>
      <c r="H51" s="1" t="str">
        <f>("10662671220056")</f>
        <v>10662671220056</v>
      </c>
      <c r="I51" s="1">
        <v>4</v>
      </c>
      <c r="J51" s="1">
        <v>128</v>
      </c>
    </row>
    <row r="52" spans="1:10" x14ac:dyDescent="0.35">
      <c r="A52" s="1" t="s">
        <v>7</v>
      </c>
      <c r="B52" s="1" t="str">
        <f>("662671220325")</f>
        <v>662671220325</v>
      </c>
      <c r="C52" s="1">
        <v>223285</v>
      </c>
      <c r="D52" s="1" t="s">
        <v>89</v>
      </c>
      <c r="E52" s="1">
        <v>233.9</v>
      </c>
      <c r="F52" s="3">
        <v>45323</v>
      </c>
      <c r="G52" s="1">
        <v>3.028</v>
      </c>
      <c r="H52" s="1" t="str">
        <f>("10662671220322")</f>
        <v>10662671220322</v>
      </c>
      <c r="I52" s="1">
        <v>1</v>
      </c>
      <c r="J52" s="1">
        <v>45</v>
      </c>
    </row>
    <row r="53" spans="1:10" x14ac:dyDescent="0.35">
      <c r="A53" s="1" t="s">
        <v>7</v>
      </c>
      <c r="B53" s="1" t="str">
        <f>("662671220073")</f>
        <v>662671220073</v>
      </c>
      <c r="C53" s="1" t="s">
        <v>90</v>
      </c>
      <c r="D53" s="1" t="s">
        <v>91</v>
      </c>
      <c r="E53" s="1">
        <v>233.9</v>
      </c>
      <c r="F53" s="3">
        <v>45323</v>
      </c>
      <c r="G53" s="1">
        <v>2.9129999999999998</v>
      </c>
      <c r="H53" s="1" t="str">
        <f>("10662671220070")</f>
        <v>10662671220070</v>
      </c>
      <c r="I53" s="1">
        <v>1</v>
      </c>
      <c r="J53" s="1">
        <v>45</v>
      </c>
    </row>
    <row r="54" spans="1:10" x14ac:dyDescent="0.35">
      <c r="A54" s="1" t="s">
        <v>7</v>
      </c>
      <c r="B54" s="1" t="str">
        <f>("662671012623")</f>
        <v>662671012623</v>
      </c>
      <c r="C54" s="1" t="s">
        <v>92</v>
      </c>
      <c r="D54" s="1" t="s">
        <v>93</v>
      </c>
      <c r="E54" s="1">
        <v>41.96</v>
      </c>
      <c r="F54" s="3">
        <v>45323</v>
      </c>
      <c r="G54" s="1">
        <v>0.90100000000000002</v>
      </c>
      <c r="H54" s="1" t="str">
        <f>("10662671012620")</f>
        <v>10662671012620</v>
      </c>
      <c r="I54" s="1">
        <v>1</v>
      </c>
    </row>
    <row r="55" spans="1:10" x14ac:dyDescent="0.35">
      <c r="A55" s="1" t="s">
        <v>7</v>
      </c>
      <c r="B55" s="1" t="str">
        <f>("662671220370")</f>
        <v>662671220370</v>
      </c>
      <c r="C55" s="1" t="s">
        <v>94</v>
      </c>
      <c r="D55" s="1" t="s">
        <v>95</v>
      </c>
      <c r="E55" s="1">
        <v>116.96</v>
      </c>
      <c r="F55" s="3">
        <v>45323</v>
      </c>
      <c r="G55" s="1">
        <v>0.91</v>
      </c>
      <c r="H55" s="1" t="str">
        <f>("10662671220377")</f>
        <v>10662671220377</v>
      </c>
      <c r="I55" s="1">
        <v>10</v>
      </c>
    </row>
    <row r="56" spans="1:10" x14ac:dyDescent="0.35">
      <c r="A56" s="1" t="s">
        <v>7</v>
      </c>
      <c r="B56" s="1" t="str">
        <f>("662671220158")</f>
        <v>662671220158</v>
      </c>
      <c r="C56" s="1" t="s">
        <v>96</v>
      </c>
      <c r="D56" s="1" t="s">
        <v>97</v>
      </c>
      <c r="E56" s="1">
        <v>100.3</v>
      </c>
      <c r="F56" s="3">
        <v>45323</v>
      </c>
      <c r="G56" s="1">
        <v>0.76100000000000001</v>
      </c>
      <c r="H56" s="1" t="str">
        <f>("10662671220155")</f>
        <v>10662671220155</v>
      </c>
      <c r="I56" s="1">
        <v>15</v>
      </c>
      <c r="J56" s="1">
        <v>480</v>
      </c>
    </row>
    <row r="57" spans="1:10" x14ac:dyDescent="0.35">
      <c r="A57" s="1" t="s">
        <v>7</v>
      </c>
      <c r="B57" s="1" t="str">
        <f>("662671220165")</f>
        <v>662671220165</v>
      </c>
      <c r="C57" s="1" t="s">
        <v>98</v>
      </c>
      <c r="D57" s="1" t="s">
        <v>99</v>
      </c>
      <c r="E57" s="1">
        <v>501.28</v>
      </c>
      <c r="F57" s="3">
        <v>45323</v>
      </c>
      <c r="G57" s="1">
        <v>4.149</v>
      </c>
      <c r="H57" s="1" t="str">
        <f>("10662671220162")</f>
        <v>10662671220162</v>
      </c>
      <c r="I57" s="1">
        <v>1</v>
      </c>
      <c r="J57" s="1">
        <v>48</v>
      </c>
    </row>
    <row r="58" spans="1:10" x14ac:dyDescent="0.35">
      <c r="A58" s="1" t="s">
        <v>7</v>
      </c>
      <c r="B58" s="1" t="str">
        <f>("662671220097")</f>
        <v>662671220097</v>
      </c>
      <c r="C58" s="1" t="s">
        <v>100</v>
      </c>
      <c r="D58" s="1" t="s">
        <v>101</v>
      </c>
      <c r="E58" s="1">
        <v>217.24</v>
      </c>
      <c r="F58" s="3">
        <v>45323</v>
      </c>
      <c r="G58" s="1">
        <v>1.599</v>
      </c>
      <c r="H58" s="1" t="str">
        <f>("10662671220094")</f>
        <v>10662671220094</v>
      </c>
      <c r="I58" s="1">
        <v>1</v>
      </c>
      <c r="J58" s="1">
        <v>84</v>
      </c>
    </row>
    <row r="59" spans="1:10" x14ac:dyDescent="0.35">
      <c r="A59" s="1" t="s">
        <v>7</v>
      </c>
      <c r="B59" s="1" t="str">
        <f>("662671220110")</f>
        <v>662671220110</v>
      </c>
      <c r="C59" s="1" t="s">
        <v>102</v>
      </c>
      <c r="D59" s="1" t="s">
        <v>103</v>
      </c>
      <c r="E59" s="1">
        <v>233.9</v>
      </c>
      <c r="F59" s="3">
        <v>45323</v>
      </c>
      <c r="G59" s="1">
        <v>3.085</v>
      </c>
      <c r="H59" s="1" t="str">
        <f>("10662671220117")</f>
        <v>10662671220117</v>
      </c>
      <c r="I59" s="1">
        <v>1</v>
      </c>
      <c r="J59" s="1">
        <v>45</v>
      </c>
    </row>
    <row r="60" spans="1:10" x14ac:dyDescent="0.35">
      <c r="A60" s="1" t="s">
        <v>7</v>
      </c>
      <c r="B60" s="1" t="str">
        <f>("662671220127")</f>
        <v>662671220127</v>
      </c>
      <c r="C60" s="1" t="s">
        <v>104</v>
      </c>
      <c r="D60" s="1" t="s">
        <v>105</v>
      </c>
      <c r="E60" s="1">
        <v>200.52</v>
      </c>
      <c r="F60" s="3">
        <v>45323</v>
      </c>
      <c r="G60" s="1">
        <v>1.7230000000000001</v>
      </c>
      <c r="H60" s="1" t="str">
        <f>("10662671220124")</f>
        <v>10662671220124</v>
      </c>
      <c r="I60" s="1">
        <v>2</v>
      </c>
      <c r="J60" s="1">
        <v>144</v>
      </c>
    </row>
    <row r="61" spans="1:10" x14ac:dyDescent="0.35">
      <c r="A61" s="1" t="s">
        <v>7</v>
      </c>
      <c r="B61" s="1" t="str">
        <f>("662671220172")</f>
        <v>662671220172</v>
      </c>
      <c r="C61" s="1" t="s">
        <v>106</v>
      </c>
      <c r="D61" s="1" t="s">
        <v>107</v>
      </c>
      <c r="E61" s="1">
        <v>217.24</v>
      </c>
      <c r="F61" s="3">
        <v>45323</v>
      </c>
      <c r="G61" s="1">
        <v>1.7070000000000001</v>
      </c>
      <c r="H61" s="1" t="str">
        <f>("10662671220179")</f>
        <v>10662671220179</v>
      </c>
      <c r="I61" s="1">
        <v>1</v>
      </c>
      <c r="J61" s="1">
        <v>84</v>
      </c>
    </row>
    <row r="62" spans="1:10" x14ac:dyDescent="0.35">
      <c r="A62" s="1" t="s">
        <v>7</v>
      </c>
      <c r="B62" s="1" t="str">
        <f>("662671220189")</f>
        <v>662671220189</v>
      </c>
      <c r="C62" s="1" t="s">
        <v>108</v>
      </c>
      <c r="D62" s="1" t="s">
        <v>109</v>
      </c>
      <c r="E62" s="1">
        <v>183.83</v>
      </c>
      <c r="F62" s="3">
        <v>45323</v>
      </c>
      <c r="G62" s="1">
        <v>0.94499999999999995</v>
      </c>
      <c r="H62" s="1" t="str">
        <f>("10662671220186")</f>
        <v>10662671220186</v>
      </c>
      <c r="I62" s="1">
        <v>4</v>
      </c>
      <c r="J62" s="1">
        <v>288</v>
      </c>
    </row>
    <row r="63" spans="1:10" x14ac:dyDescent="0.35">
      <c r="A63" s="1" t="s">
        <v>7</v>
      </c>
      <c r="B63" s="1" t="str">
        <f>("662671220417")</f>
        <v>662671220417</v>
      </c>
      <c r="C63" s="1" t="s">
        <v>110</v>
      </c>
      <c r="D63" s="1" t="s">
        <v>111</v>
      </c>
      <c r="E63" s="1">
        <v>19.899999999999999</v>
      </c>
      <c r="F63" s="3">
        <v>45323</v>
      </c>
      <c r="G63" s="1">
        <v>6.4000000000000001E-2</v>
      </c>
      <c r="H63" s="1" t="str">
        <f>("10662671220414")</f>
        <v>10662671220414</v>
      </c>
      <c r="I63" s="1">
        <v>30</v>
      </c>
    </row>
    <row r="64" spans="1:10" x14ac:dyDescent="0.35">
      <c r="A64" s="1" t="s">
        <v>7</v>
      </c>
      <c r="B64" s="1" t="str">
        <f>("662671220219")</f>
        <v>662671220219</v>
      </c>
      <c r="C64" s="1" t="s">
        <v>112</v>
      </c>
      <c r="D64" s="1" t="s">
        <v>113</v>
      </c>
      <c r="E64" s="1">
        <v>71.03</v>
      </c>
      <c r="F64" s="3">
        <v>45323</v>
      </c>
      <c r="G64" s="1">
        <v>0.39200000000000002</v>
      </c>
      <c r="H64" s="1" t="str">
        <f>("10662671220216")</f>
        <v>10662671220216</v>
      </c>
      <c r="I64" s="1">
        <v>10</v>
      </c>
      <c r="J64" s="1">
        <v>1440</v>
      </c>
    </row>
    <row r="65" spans="1:10" x14ac:dyDescent="0.35">
      <c r="A65" s="1" t="s">
        <v>7</v>
      </c>
      <c r="B65" s="1" t="str">
        <f>("662671220264")</f>
        <v>662671220264</v>
      </c>
      <c r="C65" s="1" t="s">
        <v>114</v>
      </c>
      <c r="D65" s="1" t="s">
        <v>115</v>
      </c>
      <c r="E65" s="1">
        <v>25.08</v>
      </c>
      <c r="F65" s="3">
        <v>45323</v>
      </c>
      <c r="G65" s="1">
        <v>0.156</v>
      </c>
      <c r="H65" s="1" t="str">
        <f>("10662671220261")</f>
        <v>10662671220261</v>
      </c>
      <c r="I65" s="1">
        <v>20</v>
      </c>
    </row>
    <row r="66" spans="1:10" x14ac:dyDescent="0.35">
      <c r="A66" s="1" t="s">
        <v>7</v>
      </c>
      <c r="B66" s="1" t="str">
        <f>("662671220196")</f>
        <v>662671220196</v>
      </c>
      <c r="C66" s="1" t="s">
        <v>116</v>
      </c>
      <c r="D66" s="1" t="s">
        <v>117</v>
      </c>
      <c r="E66" s="1">
        <v>55.16</v>
      </c>
      <c r="F66" s="3">
        <v>45323</v>
      </c>
      <c r="G66" s="1">
        <v>0.31</v>
      </c>
      <c r="H66" s="1" t="str">
        <f>("10662671220193")</f>
        <v>10662671220193</v>
      </c>
      <c r="I66" s="1">
        <v>15</v>
      </c>
      <c r="J66" s="1">
        <v>1080</v>
      </c>
    </row>
    <row r="67" spans="1:10" x14ac:dyDescent="0.35">
      <c r="A67" s="1" t="s">
        <v>7</v>
      </c>
      <c r="B67" s="1" t="str">
        <f>("662671220240")</f>
        <v>662671220240</v>
      </c>
      <c r="C67" s="1" t="s">
        <v>118</v>
      </c>
      <c r="D67" s="1" t="s">
        <v>119</v>
      </c>
      <c r="E67" s="1">
        <v>35.1</v>
      </c>
      <c r="F67" s="3">
        <v>45323</v>
      </c>
      <c r="G67" s="1">
        <v>0.29399999999999998</v>
      </c>
      <c r="H67" s="1" t="str">
        <f>("10662671220247")</f>
        <v>10662671220247</v>
      </c>
      <c r="I67" s="1">
        <v>20</v>
      </c>
    </row>
    <row r="68" spans="1:10" x14ac:dyDescent="0.35">
      <c r="A68" s="1" t="s">
        <v>7</v>
      </c>
      <c r="B68" s="1" t="str">
        <f>("662671220202")</f>
        <v>662671220202</v>
      </c>
      <c r="C68" s="1" t="s">
        <v>120</v>
      </c>
      <c r="D68" s="1" t="s">
        <v>121</v>
      </c>
      <c r="E68" s="1">
        <v>83.54</v>
      </c>
      <c r="F68" s="3">
        <v>45323</v>
      </c>
      <c r="G68" s="1">
        <v>0.58899999999999997</v>
      </c>
      <c r="H68" s="1" t="str">
        <f>("10662671220209")</f>
        <v>10662671220209</v>
      </c>
      <c r="I68" s="1">
        <v>10</v>
      </c>
      <c r="J68" s="1">
        <v>480</v>
      </c>
    </row>
    <row r="69" spans="1:10" x14ac:dyDescent="0.35">
      <c r="A69" s="1" t="s">
        <v>7</v>
      </c>
      <c r="B69" s="1" t="str">
        <f>("662671320360")</f>
        <v>662671320360</v>
      </c>
      <c r="C69" s="1">
        <v>321842</v>
      </c>
      <c r="D69" s="1" t="s">
        <v>122</v>
      </c>
      <c r="E69" s="1">
        <v>14.42</v>
      </c>
      <c r="F69" s="3">
        <v>45323</v>
      </c>
      <c r="G69" s="1">
        <v>1.7999999999999999E-2</v>
      </c>
      <c r="H69" s="1" t="str">
        <f>("10662671320367")</f>
        <v>10662671320367</v>
      </c>
      <c r="I69" s="1">
        <v>50</v>
      </c>
      <c r="J69" s="1">
        <v>17150</v>
      </c>
    </row>
    <row r="70" spans="1:10" x14ac:dyDescent="0.35">
      <c r="A70" s="1" t="s">
        <v>7</v>
      </c>
      <c r="B70" s="1" t="str">
        <f>("662671068637")</f>
        <v>662671068637</v>
      </c>
      <c r="C70" s="1">
        <v>323854</v>
      </c>
      <c r="D70" s="1" t="s">
        <v>123</v>
      </c>
      <c r="E70" s="1">
        <v>91.98</v>
      </c>
      <c r="F70" s="3">
        <v>45323</v>
      </c>
      <c r="G70" s="1">
        <v>0.50900000000000001</v>
      </c>
      <c r="H70" s="1" t="str">
        <f>("10662671068634")</f>
        <v>10662671068634</v>
      </c>
      <c r="I70" s="1">
        <v>25</v>
      </c>
      <c r="J70" s="1">
        <v>600</v>
      </c>
    </row>
    <row r="71" spans="1:10" x14ac:dyDescent="0.35">
      <c r="A71" s="1" t="s">
        <v>7</v>
      </c>
      <c r="B71" s="1" t="str">
        <f>("662671068644")</f>
        <v>662671068644</v>
      </c>
      <c r="C71" s="1">
        <v>323856</v>
      </c>
      <c r="D71" s="1" t="s">
        <v>124</v>
      </c>
      <c r="E71" s="1">
        <v>102.1</v>
      </c>
      <c r="F71" s="3">
        <v>45323</v>
      </c>
      <c r="G71" s="1">
        <v>0.53900000000000003</v>
      </c>
      <c r="H71" s="1" t="str">
        <f>("10662671068641")</f>
        <v>10662671068641</v>
      </c>
      <c r="I71" s="1">
        <v>25</v>
      </c>
      <c r="J71" s="1">
        <v>600</v>
      </c>
    </row>
    <row r="72" spans="1:10" x14ac:dyDescent="0.35">
      <c r="A72" s="1" t="s">
        <v>7</v>
      </c>
      <c r="B72" s="1" t="str">
        <f>("662671068651")</f>
        <v>662671068651</v>
      </c>
      <c r="C72" s="1">
        <v>323858</v>
      </c>
      <c r="D72" s="1" t="s">
        <v>125</v>
      </c>
      <c r="E72" s="1">
        <v>110.1</v>
      </c>
      <c r="F72" s="3">
        <v>45323</v>
      </c>
      <c r="G72" s="1">
        <v>0.53400000000000003</v>
      </c>
      <c r="H72" s="1" t="str">
        <f>("10662671068658")</f>
        <v>10662671068658</v>
      </c>
      <c r="I72" s="1">
        <v>25</v>
      </c>
      <c r="J72" s="1">
        <v>600</v>
      </c>
    </row>
    <row r="73" spans="1:10" x14ac:dyDescent="0.35">
      <c r="A73" s="1" t="s">
        <v>7</v>
      </c>
      <c r="B73" s="1" t="str">
        <f>("662671320261")</f>
        <v>662671320261</v>
      </c>
      <c r="C73" s="1" t="s">
        <v>126</v>
      </c>
      <c r="D73" s="1" t="s">
        <v>127</v>
      </c>
      <c r="E73" s="1">
        <v>7.93</v>
      </c>
      <c r="F73" s="3">
        <v>45323</v>
      </c>
      <c r="G73" s="1">
        <v>1.9E-2</v>
      </c>
      <c r="H73" s="1" t="str">
        <f>("10662671320268")</f>
        <v>10662671320268</v>
      </c>
      <c r="I73" s="1">
        <v>50</v>
      </c>
      <c r="J73" s="1">
        <v>17150</v>
      </c>
    </row>
    <row r="74" spans="1:10" x14ac:dyDescent="0.35">
      <c r="A74" s="1" t="s">
        <v>7</v>
      </c>
      <c r="B74" s="1" t="str">
        <f>("662671320377")</f>
        <v>662671320377</v>
      </c>
      <c r="C74" s="1">
        <v>321843</v>
      </c>
      <c r="D74" s="1" t="s">
        <v>128</v>
      </c>
      <c r="E74" s="1">
        <v>9.39</v>
      </c>
      <c r="F74" s="3">
        <v>45323</v>
      </c>
      <c r="G74" s="1">
        <v>0.03</v>
      </c>
      <c r="H74" s="1" t="str">
        <f>("10662671320374")</f>
        <v>10662671320374</v>
      </c>
      <c r="I74" s="1">
        <v>50</v>
      </c>
      <c r="J74" s="1">
        <v>7200</v>
      </c>
    </row>
    <row r="75" spans="1:10" x14ac:dyDescent="0.35">
      <c r="A75" s="1" t="s">
        <v>7</v>
      </c>
      <c r="B75" s="1" t="str">
        <f>("662671320209")</f>
        <v>662671320209</v>
      </c>
      <c r="C75" s="1" t="s">
        <v>129</v>
      </c>
      <c r="D75" s="1" t="s">
        <v>130</v>
      </c>
      <c r="E75" s="1">
        <v>8.8000000000000007</v>
      </c>
      <c r="F75" s="3">
        <v>45323</v>
      </c>
      <c r="G75" s="1">
        <v>0.03</v>
      </c>
      <c r="H75" s="1" t="str">
        <f>("10662671320206")</f>
        <v>10662671320206</v>
      </c>
      <c r="I75" s="1">
        <v>50</v>
      </c>
      <c r="J75" s="1">
        <v>7200</v>
      </c>
    </row>
    <row r="76" spans="1:10" x14ac:dyDescent="0.35">
      <c r="A76" s="1" t="s">
        <v>7</v>
      </c>
      <c r="B76" s="1" t="str">
        <f>("662671320384")</f>
        <v>662671320384</v>
      </c>
      <c r="C76" s="1">
        <v>321844</v>
      </c>
      <c r="D76" s="1" t="s">
        <v>131</v>
      </c>
      <c r="E76" s="1">
        <v>16.670000000000002</v>
      </c>
      <c r="F76" s="3">
        <v>45323</v>
      </c>
      <c r="G76" s="1">
        <v>6.2E-2</v>
      </c>
      <c r="H76" s="1" t="str">
        <f>("10662671320381")</f>
        <v>10662671320381</v>
      </c>
      <c r="I76" s="1">
        <v>25</v>
      </c>
      <c r="J76" s="1">
        <v>3600</v>
      </c>
    </row>
    <row r="77" spans="1:10" x14ac:dyDescent="0.35">
      <c r="A77" s="1" t="s">
        <v>7</v>
      </c>
      <c r="B77" s="1" t="str">
        <f>("662671320216")</f>
        <v>662671320216</v>
      </c>
      <c r="C77" s="1" t="s">
        <v>132</v>
      </c>
      <c r="D77" s="1" t="s">
        <v>133</v>
      </c>
      <c r="E77" s="1">
        <v>12.96</v>
      </c>
      <c r="F77" s="3">
        <v>45323</v>
      </c>
      <c r="G77" s="1">
        <v>6.5000000000000002E-2</v>
      </c>
      <c r="H77" s="1" t="str">
        <f>("10662671320213")</f>
        <v>10662671320213</v>
      </c>
      <c r="I77" s="1">
        <v>25</v>
      </c>
      <c r="J77" s="1">
        <v>3600</v>
      </c>
    </row>
    <row r="78" spans="1:10" x14ac:dyDescent="0.35">
      <c r="A78" s="1" t="s">
        <v>7</v>
      </c>
      <c r="B78" s="1" t="str">
        <f>("662671320056")</f>
        <v>662671320056</v>
      </c>
      <c r="C78" s="1" t="s">
        <v>134</v>
      </c>
      <c r="D78" s="1" t="s">
        <v>135</v>
      </c>
      <c r="E78" s="1">
        <v>2.63</v>
      </c>
      <c r="F78" s="3">
        <v>45323</v>
      </c>
      <c r="G78" s="1">
        <v>3.7999999999999999E-2</v>
      </c>
      <c r="H78" s="1" t="str">
        <f>("00662671320056")</f>
        <v>00662671320056</v>
      </c>
      <c r="I78" s="1">
        <v>1</v>
      </c>
    </row>
    <row r="79" spans="1:10" x14ac:dyDescent="0.35">
      <c r="A79" s="1" t="s">
        <v>7</v>
      </c>
      <c r="B79" s="1" t="str">
        <f>("662671320674")</f>
        <v>662671320674</v>
      </c>
      <c r="C79" s="1" t="s">
        <v>136</v>
      </c>
      <c r="D79" s="1" t="s">
        <v>137</v>
      </c>
      <c r="E79" s="1">
        <v>49.32</v>
      </c>
      <c r="F79" s="3">
        <v>45323</v>
      </c>
      <c r="G79" s="1">
        <v>0.45</v>
      </c>
      <c r="H79" s="1" t="str">
        <f>("10662671320671")</f>
        <v>10662671320671</v>
      </c>
      <c r="I79" s="1">
        <v>20</v>
      </c>
    </row>
    <row r="80" spans="1:10" x14ac:dyDescent="0.35">
      <c r="A80" s="1" t="s">
        <v>7</v>
      </c>
      <c r="B80" s="1" t="str">
        <f>("662671320797")</f>
        <v>662671320797</v>
      </c>
      <c r="C80" s="1" t="s">
        <v>138</v>
      </c>
      <c r="D80" s="1" t="s">
        <v>139</v>
      </c>
      <c r="E80" s="1">
        <v>35.93</v>
      </c>
      <c r="F80" s="3">
        <v>45323</v>
      </c>
      <c r="G80" s="1">
        <v>0.3</v>
      </c>
      <c r="H80" s="1" t="str">
        <f>("10662671320794")</f>
        <v>10662671320794</v>
      </c>
      <c r="I80" s="1">
        <v>20</v>
      </c>
    </row>
    <row r="81" spans="1:10" x14ac:dyDescent="0.35">
      <c r="A81" s="1" t="s">
        <v>7</v>
      </c>
      <c r="B81" s="1" t="str">
        <f>("662671320124")</f>
        <v>662671320124</v>
      </c>
      <c r="C81" s="1" t="s">
        <v>140</v>
      </c>
      <c r="D81" s="1" t="s">
        <v>141</v>
      </c>
      <c r="E81" s="1">
        <v>52.97</v>
      </c>
      <c r="F81" s="3">
        <v>45323</v>
      </c>
      <c r="G81" s="1">
        <v>0.245</v>
      </c>
      <c r="H81" s="1" t="str">
        <f>("10662671320121")</f>
        <v>10662671320121</v>
      </c>
      <c r="I81" s="1">
        <v>25</v>
      </c>
      <c r="J81" s="1">
        <v>1800</v>
      </c>
    </row>
    <row r="82" spans="1:10" x14ac:dyDescent="0.35">
      <c r="A82" s="1" t="s">
        <v>7</v>
      </c>
      <c r="B82" s="1" t="str">
        <f>("662671320155")</f>
        <v>662671320155</v>
      </c>
      <c r="C82" s="1" t="s">
        <v>142</v>
      </c>
      <c r="D82" s="1" t="s">
        <v>143</v>
      </c>
      <c r="E82" s="1">
        <v>81.12</v>
      </c>
      <c r="F82" s="3">
        <v>45323</v>
      </c>
      <c r="G82" s="1">
        <v>0.26200000000000001</v>
      </c>
      <c r="H82" s="1" t="str">
        <f>("10662671320152")</f>
        <v>10662671320152</v>
      </c>
      <c r="I82" s="1">
        <v>25</v>
      </c>
      <c r="J82" s="1">
        <v>1800</v>
      </c>
    </row>
    <row r="83" spans="1:10" x14ac:dyDescent="0.35">
      <c r="A83" s="1" t="s">
        <v>7</v>
      </c>
      <c r="B83" s="1" t="str">
        <f>("662671320254")</f>
        <v>662671320254</v>
      </c>
      <c r="C83" s="1" t="s">
        <v>144</v>
      </c>
      <c r="D83" s="1" t="s">
        <v>145</v>
      </c>
      <c r="E83" s="1">
        <v>58.46</v>
      </c>
      <c r="F83" s="3">
        <v>45323</v>
      </c>
      <c r="G83" s="1">
        <v>0.246</v>
      </c>
      <c r="H83" s="1" t="str">
        <f>("10662671320251")</f>
        <v>10662671320251</v>
      </c>
      <c r="I83" s="1">
        <v>25</v>
      </c>
      <c r="J83" s="1">
        <v>1800</v>
      </c>
    </row>
    <row r="84" spans="1:10" x14ac:dyDescent="0.35">
      <c r="A84" s="1" t="s">
        <v>7</v>
      </c>
      <c r="B84" s="1" t="str">
        <f>("662671320193")</f>
        <v>662671320193</v>
      </c>
      <c r="C84" s="1" t="s">
        <v>146</v>
      </c>
      <c r="D84" s="1" t="s">
        <v>147</v>
      </c>
      <c r="E84" s="1">
        <v>87.86</v>
      </c>
      <c r="F84" s="3">
        <v>45323</v>
      </c>
      <c r="G84" s="1">
        <v>0.3</v>
      </c>
      <c r="H84" s="1" t="str">
        <f>("10662671320190")</f>
        <v>10662671320190</v>
      </c>
      <c r="I84" s="1">
        <v>25</v>
      </c>
      <c r="J84" s="1">
        <v>1800</v>
      </c>
    </row>
    <row r="85" spans="1:10" x14ac:dyDescent="0.35">
      <c r="A85" s="1" t="s">
        <v>7</v>
      </c>
      <c r="B85" s="1" t="str">
        <f>("662671320063")</f>
        <v>662671320063</v>
      </c>
      <c r="C85" s="1" t="s">
        <v>148</v>
      </c>
      <c r="D85" s="1" t="s">
        <v>149</v>
      </c>
      <c r="E85" s="1">
        <v>36.51</v>
      </c>
      <c r="F85" s="3">
        <v>45323</v>
      </c>
      <c r="G85" s="1">
        <v>0.34899999999999998</v>
      </c>
      <c r="H85" s="1" t="str">
        <f>("10662671320060")</f>
        <v>10662671320060</v>
      </c>
      <c r="I85" s="1">
        <v>10</v>
      </c>
      <c r="J85" s="1">
        <v>720</v>
      </c>
    </row>
    <row r="86" spans="1:10" x14ac:dyDescent="0.35">
      <c r="A86" s="1" t="s">
        <v>7</v>
      </c>
      <c r="B86" s="1" t="str">
        <f>("662671320100")</f>
        <v>662671320100</v>
      </c>
      <c r="C86" s="1" t="s">
        <v>150</v>
      </c>
      <c r="D86" s="1" t="s">
        <v>151</v>
      </c>
      <c r="E86" s="1">
        <v>43.2</v>
      </c>
      <c r="F86" s="3">
        <v>45323</v>
      </c>
      <c r="G86" s="1">
        <v>0.30599999999999999</v>
      </c>
      <c r="H86" s="1" t="str">
        <f>("10662671320107")</f>
        <v>10662671320107</v>
      </c>
      <c r="I86" s="1">
        <v>10</v>
      </c>
      <c r="J86" s="1">
        <v>720</v>
      </c>
    </row>
    <row r="87" spans="1:10" x14ac:dyDescent="0.35">
      <c r="A87" s="1" t="s">
        <v>7</v>
      </c>
      <c r="B87" s="1" t="str">
        <f>("662671320070")</f>
        <v>662671320070</v>
      </c>
      <c r="C87" s="1" t="s">
        <v>152</v>
      </c>
      <c r="D87" s="1" t="s">
        <v>153</v>
      </c>
      <c r="E87" s="1">
        <v>39.090000000000003</v>
      </c>
      <c r="F87" s="3">
        <v>45323</v>
      </c>
      <c r="G87" s="1">
        <v>0.56599999999999995</v>
      </c>
      <c r="H87" s="1" t="str">
        <f>("10662671320077")</f>
        <v>10662671320077</v>
      </c>
      <c r="I87" s="1">
        <v>6</v>
      </c>
      <c r="J87" s="1">
        <v>432</v>
      </c>
    </row>
    <row r="88" spans="1:10" x14ac:dyDescent="0.35">
      <c r="A88" s="1" t="s">
        <v>7</v>
      </c>
      <c r="B88" s="1" t="str">
        <f>("662671320117")</f>
        <v>662671320117</v>
      </c>
      <c r="C88" s="1" t="s">
        <v>154</v>
      </c>
      <c r="D88" s="1" t="s">
        <v>155</v>
      </c>
      <c r="E88" s="1">
        <v>95.92</v>
      </c>
      <c r="F88" s="3">
        <v>45323</v>
      </c>
      <c r="G88" s="1">
        <v>0.53400000000000003</v>
      </c>
      <c r="H88" s="1" t="str">
        <f>("10662671320114")</f>
        <v>10662671320114</v>
      </c>
      <c r="I88" s="1">
        <v>6</v>
      </c>
      <c r="J88" s="1">
        <v>432</v>
      </c>
    </row>
    <row r="89" spans="1:10" x14ac:dyDescent="0.35">
      <c r="A89" s="1" t="s">
        <v>7</v>
      </c>
      <c r="B89" s="1" t="str">
        <f>("662671320247")</f>
        <v>662671320247</v>
      </c>
      <c r="C89" s="1" t="s">
        <v>156</v>
      </c>
      <c r="D89" s="1" t="s">
        <v>157</v>
      </c>
      <c r="E89" s="1">
        <v>75.78</v>
      </c>
      <c r="F89" s="3">
        <v>45323</v>
      </c>
      <c r="G89" s="1">
        <v>0.54600000000000004</v>
      </c>
      <c r="H89" s="1" t="str">
        <f>("10662671320244")</f>
        <v>10662671320244</v>
      </c>
      <c r="I89" s="1">
        <v>10</v>
      </c>
      <c r="J89" s="1">
        <v>480</v>
      </c>
    </row>
    <row r="90" spans="1:10" x14ac:dyDescent="0.35">
      <c r="A90" s="1" t="s">
        <v>7</v>
      </c>
      <c r="B90" s="1" t="str">
        <f>("662671320629")</f>
        <v>662671320629</v>
      </c>
      <c r="C90" s="1" t="s">
        <v>158</v>
      </c>
      <c r="D90" s="1" t="s">
        <v>159</v>
      </c>
      <c r="E90" s="1">
        <v>89.17</v>
      </c>
      <c r="F90" s="3">
        <v>45323</v>
      </c>
      <c r="G90" s="1">
        <v>0.56200000000000006</v>
      </c>
      <c r="H90" s="1" t="str">
        <f>("10662671320626")</f>
        <v>10662671320626</v>
      </c>
      <c r="I90" s="1">
        <v>10</v>
      </c>
      <c r="J90" s="1">
        <v>480</v>
      </c>
    </row>
    <row r="91" spans="1:10" x14ac:dyDescent="0.35">
      <c r="A91" s="1" t="s">
        <v>7</v>
      </c>
      <c r="B91" s="1" t="str">
        <f>("662671320452")</f>
        <v>662671320452</v>
      </c>
      <c r="C91" s="1" t="s">
        <v>160</v>
      </c>
      <c r="D91" s="1" t="s">
        <v>161</v>
      </c>
      <c r="E91" s="1">
        <v>61.66</v>
      </c>
      <c r="F91" s="3">
        <v>45323</v>
      </c>
      <c r="G91" s="1">
        <v>0.31</v>
      </c>
      <c r="H91" s="1" t="str">
        <f>("10662671320459")</f>
        <v>10662671320459</v>
      </c>
      <c r="I91" s="1">
        <v>8</v>
      </c>
      <c r="J91" s="1">
        <v>1152</v>
      </c>
    </row>
    <row r="92" spans="1:10" x14ac:dyDescent="0.35">
      <c r="A92" s="1" t="s">
        <v>7</v>
      </c>
      <c r="B92" s="1" t="str">
        <f>("662671320537")</f>
        <v>662671320537</v>
      </c>
      <c r="C92" s="1">
        <v>322804</v>
      </c>
      <c r="D92" s="1" t="s">
        <v>162</v>
      </c>
      <c r="E92" s="1">
        <v>96.12</v>
      </c>
      <c r="F92" s="3">
        <v>45323</v>
      </c>
      <c r="G92" s="1">
        <v>0.47499999999999998</v>
      </c>
      <c r="H92" s="1" t="str">
        <f>("10662671320534")</f>
        <v>10662671320534</v>
      </c>
      <c r="I92" s="1">
        <v>25</v>
      </c>
      <c r="J92" s="1">
        <v>800</v>
      </c>
    </row>
    <row r="93" spans="1:10" x14ac:dyDescent="0.35">
      <c r="A93" s="1" t="s">
        <v>7</v>
      </c>
      <c r="B93" s="1" t="str">
        <f>("662671320544")</f>
        <v>662671320544</v>
      </c>
      <c r="C93" s="1">
        <v>322806</v>
      </c>
      <c r="D93" s="1" t="s">
        <v>163</v>
      </c>
      <c r="E93" s="1">
        <v>124.5</v>
      </c>
      <c r="F93" s="3">
        <v>45323</v>
      </c>
      <c r="G93" s="1">
        <v>0.505</v>
      </c>
      <c r="H93" s="1" t="str">
        <f>("10662671320541")</f>
        <v>10662671320541</v>
      </c>
      <c r="I93" s="1">
        <v>25</v>
      </c>
      <c r="J93" s="1">
        <v>800</v>
      </c>
    </row>
    <row r="94" spans="1:10" x14ac:dyDescent="0.35">
      <c r="A94" s="1" t="s">
        <v>7</v>
      </c>
      <c r="B94" s="1" t="str">
        <f>("662671320568")</f>
        <v>662671320568</v>
      </c>
      <c r="C94" s="1">
        <v>322808</v>
      </c>
      <c r="D94" s="1" t="s">
        <v>164</v>
      </c>
      <c r="E94" s="1">
        <v>112.02</v>
      </c>
      <c r="F94" s="3">
        <v>45323</v>
      </c>
      <c r="G94" s="1">
        <v>0.5</v>
      </c>
      <c r="H94" s="1" t="str">
        <f>("10662671320565")</f>
        <v>10662671320565</v>
      </c>
      <c r="I94" s="1">
        <v>25</v>
      </c>
      <c r="J94" s="1">
        <v>800</v>
      </c>
    </row>
    <row r="95" spans="1:10" x14ac:dyDescent="0.35">
      <c r="A95" s="1" t="s">
        <v>7</v>
      </c>
      <c r="B95" s="1" t="str">
        <f>("662671320285")</f>
        <v>662671320285</v>
      </c>
      <c r="C95" s="1">
        <v>322904</v>
      </c>
      <c r="D95" s="1" t="s">
        <v>165</v>
      </c>
      <c r="E95" s="1">
        <v>91.98</v>
      </c>
      <c r="F95" s="3">
        <v>45323</v>
      </c>
      <c r="G95" s="1">
        <v>0.48099999999999998</v>
      </c>
      <c r="H95" s="1" t="str">
        <f>("10662671320282")</f>
        <v>10662671320282</v>
      </c>
      <c r="I95" s="1">
        <v>25</v>
      </c>
      <c r="J95" s="1">
        <v>800</v>
      </c>
    </row>
    <row r="96" spans="1:10" x14ac:dyDescent="0.35">
      <c r="A96" s="1" t="s">
        <v>7</v>
      </c>
      <c r="B96" s="1" t="str">
        <f>("662671320292")</f>
        <v>662671320292</v>
      </c>
      <c r="C96" s="1">
        <v>322906</v>
      </c>
      <c r="D96" s="1" t="s">
        <v>166</v>
      </c>
      <c r="E96" s="1">
        <v>102.1</v>
      </c>
      <c r="F96" s="3">
        <v>45323</v>
      </c>
      <c r="G96" s="1">
        <v>0.51100000000000001</v>
      </c>
      <c r="H96" s="1" t="str">
        <f>("10662671320299")</f>
        <v>10662671320299</v>
      </c>
      <c r="I96" s="1">
        <v>25</v>
      </c>
      <c r="J96" s="1">
        <v>800</v>
      </c>
    </row>
    <row r="97" spans="1:10" x14ac:dyDescent="0.35">
      <c r="A97" s="1" t="s">
        <v>7</v>
      </c>
      <c r="B97" s="1" t="str">
        <f>("662671320308")</f>
        <v>662671320308</v>
      </c>
      <c r="C97" s="1">
        <v>322908</v>
      </c>
      <c r="D97" s="1" t="s">
        <v>167</v>
      </c>
      <c r="E97" s="1">
        <v>110.1</v>
      </c>
      <c r="F97" s="3">
        <v>45323</v>
      </c>
      <c r="G97" s="1">
        <v>0.50600000000000001</v>
      </c>
      <c r="H97" s="1" t="str">
        <f>("10662671320305")</f>
        <v>10662671320305</v>
      </c>
      <c r="I97" s="1">
        <v>25</v>
      </c>
      <c r="J97" s="1">
        <v>800</v>
      </c>
    </row>
    <row r="98" spans="1:10" x14ac:dyDescent="0.35">
      <c r="A98" s="1" t="s">
        <v>7</v>
      </c>
      <c r="B98" s="1" t="str">
        <f>("662671333490")</f>
        <v>662671333490</v>
      </c>
      <c r="C98" s="1" t="s">
        <v>168</v>
      </c>
      <c r="D98" s="1" t="s">
        <v>169</v>
      </c>
      <c r="E98" s="1">
        <v>19.03</v>
      </c>
      <c r="F98" s="3">
        <v>45323</v>
      </c>
      <c r="G98" s="1">
        <v>5.8000000000000003E-2</v>
      </c>
      <c r="H98" s="1" t="str">
        <f>("10662671333497")</f>
        <v>10662671333497</v>
      </c>
      <c r="I98" s="1">
        <v>120</v>
      </c>
    </row>
    <row r="99" spans="1:10" x14ac:dyDescent="0.35">
      <c r="A99" s="1" t="s">
        <v>7</v>
      </c>
      <c r="B99" s="1" t="str">
        <f>("662671333506")</f>
        <v>662671333506</v>
      </c>
      <c r="C99" s="1" t="s">
        <v>170</v>
      </c>
      <c r="D99" s="1" t="s">
        <v>171</v>
      </c>
      <c r="E99" s="1">
        <v>19.03</v>
      </c>
      <c r="F99" s="3">
        <v>45323</v>
      </c>
      <c r="G99" s="1">
        <v>5.8000000000000003E-2</v>
      </c>
      <c r="H99" s="1" t="str">
        <f>("10662671333503")</f>
        <v>10662671333503</v>
      </c>
      <c r="I99" s="1">
        <v>160</v>
      </c>
    </row>
    <row r="100" spans="1:10" x14ac:dyDescent="0.35">
      <c r="A100" s="1" t="s">
        <v>7</v>
      </c>
      <c r="B100" s="1" t="str">
        <f>("662671330789")</f>
        <v>662671330789</v>
      </c>
      <c r="C100" s="1" t="s">
        <v>172</v>
      </c>
      <c r="D100" s="1" t="s">
        <v>173</v>
      </c>
      <c r="E100" s="1">
        <v>13.27</v>
      </c>
      <c r="F100" s="3">
        <v>45323</v>
      </c>
      <c r="G100" s="1">
        <v>5.5E-2</v>
      </c>
      <c r="H100" s="1" t="str">
        <f>("20662671330783")</f>
        <v>20662671330783</v>
      </c>
      <c r="I100" s="1">
        <v>120</v>
      </c>
    </row>
    <row r="101" spans="1:10" x14ac:dyDescent="0.35">
      <c r="A101" s="1" t="s">
        <v>7</v>
      </c>
      <c r="B101" s="1" t="str">
        <f>("662671333513")</f>
        <v>662671333513</v>
      </c>
      <c r="C101" s="1" t="s">
        <v>174</v>
      </c>
      <c r="D101" s="1" t="s">
        <v>175</v>
      </c>
      <c r="E101" s="1">
        <v>20.58</v>
      </c>
      <c r="F101" s="3">
        <v>45323</v>
      </c>
      <c r="G101" s="1">
        <v>7.8E-2</v>
      </c>
      <c r="H101" s="1" t="str">
        <f>("10662671333510")</f>
        <v>10662671333510</v>
      </c>
      <c r="I101" s="1">
        <v>160</v>
      </c>
    </row>
    <row r="102" spans="1:10" x14ac:dyDescent="0.35">
      <c r="A102" s="1" t="s">
        <v>7</v>
      </c>
      <c r="B102" s="1" t="str">
        <f>("662671333520")</f>
        <v>662671333520</v>
      </c>
      <c r="C102" s="1" t="s">
        <v>176</v>
      </c>
      <c r="D102" s="1" t="s">
        <v>177</v>
      </c>
      <c r="E102" s="1">
        <v>20.58</v>
      </c>
      <c r="F102" s="3">
        <v>45323</v>
      </c>
      <c r="G102" s="1">
        <v>8.2000000000000003E-2</v>
      </c>
      <c r="H102" s="1" t="str">
        <f>("10662671333527")</f>
        <v>10662671333527</v>
      </c>
      <c r="I102" s="1">
        <v>160</v>
      </c>
    </row>
    <row r="103" spans="1:10" x14ac:dyDescent="0.35">
      <c r="A103" s="1" t="s">
        <v>7</v>
      </c>
      <c r="B103" s="1" t="str">
        <f>("662671330802")</f>
        <v>662671330802</v>
      </c>
      <c r="C103" s="1" t="s">
        <v>178</v>
      </c>
      <c r="D103" s="1" t="s">
        <v>179</v>
      </c>
      <c r="E103" s="1">
        <v>14.32</v>
      </c>
      <c r="F103" s="3">
        <v>45323</v>
      </c>
      <c r="G103" s="1">
        <v>7.0999999999999994E-2</v>
      </c>
      <c r="H103" s="1" t="str">
        <f>("10662671330809")</f>
        <v>10662671330809</v>
      </c>
      <c r="I103" s="1">
        <v>160</v>
      </c>
    </row>
    <row r="104" spans="1:10" x14ac:dyDescent="0.35">
      <c r="A104" s="1" t="s">
        <v>7</v>
      </c>
      <c r="B104" s="1" t="str">
        <f>("662671068590")</f>
        <v>662671068590</v>
      </c>
      <c r="C104" s="1" t="s">
        <v>180</v>
      </c>
      <c r="D104" s="1" t="s">
        <v>181</v>
      </c>
      <c r="E104" s="1">
        <v>7.85</v>
      </c>
      <c r="F104" s="3">
        <v>45323</v>
      </c>
      <c r="G104" s="1">
        <v>0.02</v>
      </c>
      <c r="H104" s="1" t="str">
        <f>("00662671068590")</f>
        <v>00662671068590</v>
      </c>
      <c r="I104" s="1">
        <v>1</v>
      </c>
    </row>
    <row r="105" spans="1:10" x14ac:dyDescent="0.35">
      <c r="A105" s="1" t="s">
        <v>7</v>
      </c>
      <c r="B105" s="1" t="str">
        <f>("662671068606")</f>
        <v>662671068606</v>
      </c>
      <c r="C105" s="1">
        <v>333854</v>
      </c>
      <c r="D105" s="1" t="s">
        <v>182</v>
      </c>
      <c r="E105" s="1">
        <v>58.69</v>
      </c>
      <c r="F105" s="3">
        <v>45323</v>
      </c>
      <c r="G105" s="1">
        <v>0.45700000000000002</v>
      </c>
      <c r="H105" s="1" t="str">
        <f>("10662671068603")</f>
        <v>10662671068603</v>
      </c>
      <c r="I105" s="1">
        <v>25</v>
      </c>
      <c r="J105" s="1">
        <v>600</v>
      </c>
    </row>
    <row r="106" spans="1:10" x14ac:dyDescent="0.35">
      <c r="A106" s="1" t="s">
        <v>7</v>
      </c>
      <c r="B106" s="1" t="str">
        <f>("662671068613")</f>
        <v>662671068613</v>
      </c>
      <c r="C106" s="1">
        <v>333856</v>
      </c>
      <c r="D106" s="1" t="s">
        <v>183</v>
      </c>
      <c r="E106" s="1">
        <v>75.61</v>
      </c>
      <c r="F106" s="3">
        <v>45323</v>
      </c>
      <c r="G106" s="1">
        <v>0.48699999999999999</v>
      </c>
      <c r="H106" s="1" t="str">
        <f>("10662671068610")</f>
        <v>10662671068610</v>
      </c>
      <c r="I106" s="1">
        <v>25</v>
      </c>
      <c r="J106" s="1">
        <v>600</v>
      </c>
    </row>
    <row r="107" spans="1:10" x14ac:dyDescent="0.35">
      <c r="A107" s="1" t="s">
        <v>7</v>
      </c>
      <c r="B107" s="1" t="str">
        <f>("662671068620")</f>
        <v>662671068620</v>
      </c>
      <c r="C107" s="1">
        <v>333858</v>
      </c>
      <c r="D107" s="1" t="s">
        <v>184</v>
      </c>
      <c r="E107" s="1">
        <v>69.86</v>
      </c>
      <c r="F107" s="3">
        <v>45323</v>
      </c>
      <c r="G107" s="1">
        <v>0.48199999999999998</v>
      </c>
      <c r="H107" s="1" t="str">
        <f>("10662671068627")</f>
        <v>10662671068627</v>
      </c>
      <c r="I107" s="1">
        <v>25</v>
      </c>
      <c r="J107" s="1">
        <v>600</v>
      </c>
    </row>
    <row r="108" spans="1:10" x14ac:dyDescent="0.35">
      <c r="A108" s="1" t="s">
        <v>7</v>
      </c>
      <c r="B108" s="1" t="str">
        <f>("662671073006")</f>
        <v>662671073006</v>
      </c>
      <c r="C108" s="1" t="s">
        <v>185</v>
      </c>
      <c r="D108" s="1" t="s">
        <v>186</v>
      </c>
      <c r="E108" s="1">
        <v>33.75</v>
      </c>
      <c r="F108" s="3">
        <v>45323</v>
      </c>
      <c r="G108" s="1">
        <v>0.125</v>
      </c>
      <c r="H108" s="1" t="str">
        <f>("10662671073003")</f>
        <v>10662671073003</v>
      </c>
      <c r="I108" s="1">
        <v>60</v>
      </c>
    </row>
    <row r="109" spans="1:10" x14ac:dyDescent="0.35">
      <c r="A109" s="1" t="s">
        <v>7</v>
      </c>
      <c r="B109" s="1" t="str">
        <f>("662671073051")</f>
        <v>662671073051</v>
      </c>
      <c r="C109" s="1" t="s">
        <v>187</v>
      </c>
      <c r="D109" s="1" t="s">
        <v>188</v>
      </c>
      <c r="E109" s="1">
        <v>41.3</v>
      </c>
      <c r="F109" s="3">
        <v>45323</v>
      </c>
      <c r="G109" s="1">
        <v>0.125</v>
      </c>
      <c r="H109" s="1" t="str">
        <f>("10662671073058")</f>
        <v>10662671073058</v>
      </c>
      <c r="I109" s="1">
        <v>60</v>
      </c>
    </row>
    <row r="110" spans="1:10" x14ac:dyDescent="0.35">
      <c r="A110" s="1" t="s">
        <v>7</v>
      </c>
      <c r="B110" s="1" t="str">
        <f>("662671073037")</f>
        <v>662671073037</v>
      </c>
      <c r="C110" s="1" t="s">
        <v>189</v>
      </c>
      <c r="D110" s="1" t="s">
        <v>190</v>
      </c>
      <c r="E110" s="1">
        <v>16.61</v>
      </c>
      <c r="F110" s="3">
        <v>45323</v>
      </c>
      <c r="G110" s="1">
        <v>3.3000000000000002E-2</v>
      </c>
      <c r="H110" s="1" t="str">
        <f>("10662671073034")</f>
        <v>10662671073034</v>
      </c>
      <c r="I110" s="1">
        <v>200</v>
      </c>
    </row>
    <row r="111" spans="1:10" x14ac:dyDescent="0.35">
      <c r="A111" s="1" t="s">
        <v>7</v>
      </c>
      <c r="B111" s="1" t="str">
        <f>("662671073020")</f>
        <v>662671073020</v>
      </c>
      <c r="C111" s="1" t="s">
        <v>191</v>
      </c>
      <c r="D111" s="1" t="s">
        <v>192</v>
      </c>
      <c r="E111" s="1">
        <v>13.38</v>
      </c>
      <c r="F111" s="3">
        <v>45323</v>
      </c>
      <c r="G111" s="1">
        <v>3.2000000000000001E-2</v>
      </c>
      <c r="H111" s="1" t="str">
        <f>("10662671073027")</f>
        <v>10662671073027</v>
      </c>
      <c r="I111" s="1">
        <v>200</v>
      </c>
    </row>
    <row r="112" spans="1:10" x14ac:dyDescent="0.35">
      <c r="A112" s="1" t="s">
        <v>7</v>
      </c>
      <c r="B112" s="1" t="str">
        <f>("662671330864")</f>
        <v>662671330864</v>
      </c>
      <c r="C112" s="1" t="s">
        <v>193</v>
      </c>
      <c r="D112" s="1" t="s">
        <v>194</v>
      </c>
      <c r="E112" s="1">
        <v>81.81</v>
      </c>
      <c r="F112" s="3">
        <v>45323</v>
      </c>
      <c r="G112" s="1">
        <v>0.52800000000000002</v>
      </c>
      <c r="H112" s="1" t="str">
        <f>("00662671330864")</f>
        <v>00662671330864</v>
      </c>
      <c r="I112" s="1">
        <v>1</v>
      </c>
    </row>
    <row r="113" spans="1:10" x14ac:dyDescent="0.35">
      <c r="A113" s="1" t="s">
        <v>7</v>
      </c>
      <c r="B113" s="1" t="str">
        <f>("662671073198")</f>
        <v>662671073198</v>
      </c>
      <c r="C113" s="1" t="s">
        <v>195</v>
      </c>
      <c r="D113" s="1" t="s">
        <v>196</v>
      </c>
      <c r="E113" s="1">
        <v>57.77</v>
      </c>
      <c r="F113" s="3">
        <v>45323</v>
      </c>
      <c r="G113" s="1">
        <v>0.157</v>
      </c>
      <c r="H113" s="1" t="str">
        <f>("10662671073195")</f>
        <v>10662671073195</v>
      </c>
      <c r="I113" s="1">
        <v>24</v>
      </c>
      <c r="J113" s="1">
        <v>1728</v>
      </c>
    </row>
    <row r="114" spans="1:10" x14ac:dyDescent="0.35">
      <c r="A114" s="1" t="s">
        <v>7</v>
      </c>
      <c r="B114" s="1" t="str">
        <f>("662671073266")</f>
        <v>662671073266</v>
      </c>
      <c r="C114" s="1" t="s">
        <v>197</v>
      </c>
      <c r="D114" s="1" t="s">
        <v>198</v>
      </c>
      <c r="E114" s="1">
        <v>48.25</v>
      </c>
      <c r="F114" s="3">
        <v>45323</v>
      </c>
      <c r="G114" s="1">
        <v>0.15</v>
      </c>
      <c r="H114" s="1" t="str">
        <f>("10662671073263")</f>
        <v>10662671073263</v>
      </c>
      <c r="I114" s="1">
        <v>24</v>
      </c>
      <c r="J114" s="1">
        <v>1728</v>
      </c>
    </row>
    <row r="115" spans="1:10" x14ac:dyDescent="0.35">
      <c r="A115" s="1" t="s">
        <v>7</v>
      </c>
      <c r="B115" s="1" t="str">
        <f>("662671330871")</f>
        <v>662671330871</v>
      </c>
      <c r="C115" s="1" t="s">
        <v>199</v>
      </c>
      <c r="D115" s="1" t="s">
        <v>200</v>
      </c>
      <c r="E115" s="1">
        <v>26.56</v>
      </c>
      <c r="F115" s="3">
        <v>45323</v>
      </c>
      <c r="G115" s="1">
        <v>0.33100000000000002</v>
      </c>
      <c r="H115" s="1" t="str">
        <f>("10662671330878")</f>
        <v>10662671330878</v>
      </c>
      <c r="I115" s="1">
        <v>20</v>
      </c>
    </row>
    <row r="116" spans="1:10" x14ac:dyDescent="0.35">
      <c r="A116" s="1" t="s">
        <v>7</v>
      </c>
      <c r="B116" s="1" t="str">
        <f>("662671073242")</f>
        <v>662671073242</v>
      </c>
      <c r="C116" s="1" t="s">
        <v>201</v>
      </c>
      <c r="D116" s="1" t="s">
        <v>202</v>
      </c>
      <c r="E116" s="1">
        <v>39.39</v>
      </c>
      <c r="F116" s="3">
        <v>45323</v>
      </c>
      <c r="G116" s="1">
        <v>0.14499999999999999</v>
      </c>
      <c r="H116" s="1" t="str">
        <f>("10662671073249")</f>
        <v>10662671073249</v>
      </c>
      <c r="I116" s="1">
        <v>24</v>
      </c>
      <c r="J116" s="1">
        <v>1728</v>
      </c>
    </row>
    <row r="117" spans="1:10" x14ac:dyDescent="0.35">
      <c r="A117" s="1" t="s">
        <v>7</v>
      </c>
      <c r="B117" s="1" t="str">
        <f>("662671073235")</f>
        <v>662671073235</v>
      </c>
      <c r="C117" s="1" t="s">
        <v>203</v>
      </c>
      <c r="D117" s="1" t="s">
        <v>204</v>
      </c>
      <c r="E117" s="1">
        <v>65.66</v>
      </c>
      <c r="F117" s="3">
        <v>45323</v>
      </c>
      <c r="G117" s="1">
        <v>0.157</v>
      </c>
      <c r="H117" s="1" t="str">
        <f>("10662671073232")</f>
        <v>10662671073232</v>
      </c>
      <c r="I117" s="1">
        <v>24</v>
      </c>
      <c r="J117" s="1">
        <v>1728</v>
      </c>
    </row>
    <row r="118" spans="1:10" x14ac:dyDescent="0.35">
      <c r="A118" s="1" t="s">
        <v>7</v>
      </c>
      <c r="B118" s="1" t="str">
        <f>("662671330901")</f>
        <v>662671330901</v>
      </c>
      <c r="C118" s="1" t="s">
        <v>205</v>
      </c>
      <c r="D118" s="1" t="s">
        <v>206</v>
      </c>
      <c r="E118" s="1">
        <v>21.07</v>
      </c>
      <c r="F118" s="3">
        <v>45323</v>
      </c>
      <c r="G118" s="1">
        <v>0.28899999999999998</v>
      </c>
      <c r="H118" s="1" t="str">
        <f>("10662671330908")</f>
        <v>10662671330908</v>
      </c>
      <c r="I118" s="1">
        <v>30</v>
      </c>
    </row>
    <row r="119" spans="1:10" x14ac:dyDescent="0.35">
      <c r="A119" s="1" t="s">
        <v>7</v>
      </c>
      <c r="B119" s="1" t="str">
        <f>("662671073228")</f>
        <v>662671073228</v>
      </c>
      <c r="C119" s="1" t="s">
        <v>207</v>
      </c>
      <c r="D119" s="1" t="s">
        <v>208</v>
      </c>
      <c r="E119" s="1">
        <v>66.05</v>
      </c>
      <c r="F119" s="3">
        <v>45323</v>
      </c>
      <c r="G119" s="1">
        <v>0.158</v>
      </c>
      <c r="H119" s="1" t="str">
        <f>("10662671073225")</f>
        <v>10662671073225</v>
      </c>
      <c r="I119" s="1">
        <v>24</v>
      </c>
      <c r="J119" s="1">
        <v>1728</v>
      </c>
    </row>
    <row r="120" spans="1:10" x14ac:dyDescent="0.35">
      <c r="A120" s="1" t="s">
        <v>7</v>
      </c>
      <c r="B120" s="1" t="str">
        <f>("662671073259")</f>
        <v>662671073259</v>
      </c>
      <c r="C120" s="1" t="s">
        <v>209</v>
      </c>
      <c r="D120" s="1" t="s">
        <v>210</v>
      </c>
      <c r="E120" s="1">
        <v>68.67</v>
      </c>
      <c r="F120" s="3">
        <v>45323</v>
      </c>
      <c r="G120" s="1">
        <v>0.158</v>
      </c>
      <c r="H120" s="1" t="str">
        <f>("10662671073256")</f>
        <v>10662671073256</v>
      </c>
      <c r="I120" s="1">
        <v>24</v>
      </c>
      <c r="J120" s="1">
        <v>1728</v>
      </c>
    </row>
    <row r="121" spans="1:10" x14ac:dyDescent="0.35">
      <c r="A121" s="1" t="s">
        <v>7</v>
      </c>
      <c r="B121" s="1" t="str">
        <f>("662671074775")</f>
        <v>662671074775</v>
      </c>
      <c r="C121" s="1" t="s">
        <v>211</v>
      </c>
      <c r="D121" s="1" t="s">
        <v>212</v>
      </c>
      <c r="E121" s="1">
        <v>33.75</v>
      </c>
      <c r="F121" s="3">
        <v>45323</v>
      </c>
      <c r="G121" s="1">
        <v>0.14199999999999999</v>
      </c>
      <c r="H121" s="1" t="str">
        <f>("10662671074772")</f>
        <v>10662671074772</v>
      </c>
      <c r="I121" s="1">
        <v>60</v>
      </c>
    </row>
    <row r="122" spans="1:10" x14ac:dyDescent="0.35">
      <c r="A122" s="1" t="s">
        <v>7</v>
      </c>
      <c r="B122" s="1" t="str">
        <f>("662671074782")</f>
        <v>662671074782</v>
      </c>
      <c r="C122" s="1" t="s">
        <v>213</v>
      </c>
      <c r="D122" s="1" t="s">
        <v>214</v>
      </c>
      <c r="E122" s="1">
        <v>16.61</v>
      </c>
      <c r="F122" s="3">
        <v>45323</v>
      </c>
      <c r="G122" s="1">
        <v>3.6999999999999998E-2</v>
      </c>
      <c r="H122" s="1" t="str">
        <f>("10662671074789")</f>
        <v>10662671074789</v>
      </c>
      <c r="I122" s="1">
        <v>200</v>
      </c>
    </row>
    <row r="123" spans="1:10" x14ac:dyDescent="0.35">
      <c r="A123" s="1" t="s">
        <v>7</v>
      </c>
      <c r="B123" s="1" t="str">
        <f>("662671330994")</f>
        <v>662671330994</v>
      </c>
      <c r="C123" s="1" t="s">
        <v>215</v>
      </c>
      <c r="D123" s="1" t="s">
        <v>216</v>
      </c>
      <c r="E123" s="1">
        <v>23.7</v>
      </c>
      <c r="F123" s="3">
        <v>45323</v>
      </c>
      <c r="G123" s="1">
        <v>0.23899999999999999</v>
      </c>
      <c r="H123" s="1" t="str">
        <f>("10662671330991")</f>
        <v>10662671330991</v>
      </c>
      <c r="I123" s="1">
        <v>20</v>
      </c>
    </row>
    <row r="124" spans="1:10" x14ac:dyDescent="0.35">
      <c r="A124" s="1" t="s">
        <v>7</v>
      </c>
      <c r="B124" s="1" t="str">
        <f>("662671074799")</f>
        <v>662671074799</v>
      </c>
      <c r="C124" s="1" t="s">
        <v>217</v>
      </c>
      <c r="D124" s="1" t="s">
        <v>218</v>
      </c>
      <c r="E124" s="1">
        <v>41.3</v>
      </c>
      <c r="F124" s="3">
        <v>45323</v>
      </c>
      <c r="G124" s="1">
        <v>0.15</v>
      </c>
      <c r="H124" s="1" t="str">
        <f>("10662671074796")</f>
        <v>10662671074796</v>
      </c>
      <c r="I124" s="1">
        <v>60</v>
      </c>
    </row>
    <row r="125" spans="1:10" x14ac:dyDescent="0.35">
      <c r="A125" s="1" t="s">
        <v>7</v>
      </c>
      <c r="B125" s="1" t="str">
        <f>("662671074843")</f>
        <v>662671074843</v>
      </c>
      <c r="C125" s="1" t="s">
        <v>219</v>
      </c>
      <c r="D125" s="1" t="s">
        <v>220</v>
      </c>
      <c r="E125" s="1">
        <v>68.67</v>
      </c>
      <c r="F125" s="3">
        <v>45323</v>
      </c>
      <c r="G125" s="1">
        <v>0.187</v>
      </c>
      <c r="H125" s="1" t="str">
        <f>("10662671074840")</f>
        <v>10662671074840</v>
      </c>
      <c r="I125" s="1">
        <v>24</v>
      </c>
      <c r="J125" s="1">
        <v>1728</v>
      </c>
    </row>
    <row r="126" spans="1:10" x14ac:dyDescent="0.35">
      <c r="A126" s="1" t="s">
        <v>7</v>
      </c>
      <c r="B126" s="1" t="str">
        <f>("662671074850")</f>
        <v>662671074850</v>
      </c>
      <c r="C126" s="1" t="s">
        <v>221</v>
      </c>
      <c r="D126" s="1" t="s">
        <v>222</v>
      </c>
      <c r="E126" s="1">
        <v>66.05</v>
      </c>
      <c r="F126" s="3">
        <v>45323</v>
      </c>
      <c r="G126" s="1">
        <v>0.17899999999999999</v>
      </c>
      <c r="H126" s="1" t="str">
        <f>("10662671074857")</f>
        <v>10662671074857</v>
      </c>
      <c r="I126" s="1">
        <v>24</v>
      </c>
      <c r="J126" s="1">
        <v>1728</v>
      </c>
    </row>
    <row r="127" spans="1:10" x14ac:dyDescent="0.35">
      <c r="A127" s="1" t="s">
        <v>7</v>
      </c>
      <c r="B127" s="1" t="str">
        <f>("662671074898")</f>
        <v>662671074898</v>
      </c>
      <c r="C127" s="1" t="s">
        <v>223</v>
      </c>
      <c r="D127" s="1" t="s">
        <v>224</v>
      </c>
      <c r="E127" s="1">
        <v>26.45</v>
      </c>
      <c r="F127" s="3">
        <v>45323</v>
      </c>
      <c r="G127" s="1">
        <v>5.5E-2</v>
      </c>
      <c r="H127" s="1" t="str">
        <f>("10662671074895")</f>
        <v>10662671074895</v>
      </c>
      <c r="I127" s="1">
        <v>120</v>
      </c>
    </row>
    <row r="128" spans="1:10" x14ac:dyDescent="0.35">
      <c r="A128" s="1" t="s">
        <v>7</v>
      </c>
      <c r="B128" s="1" t="str">
        <f>("662671074904")</f>
        <v>662671074904</v>
      </c>
      <c r="C128" s="1" t="s">
        <v>225</v>
      </c>
      <c r="D128" s="1" t="s">
        <v>226</v>
      </c>
      <c r="E128" s="1">
        <v>24.85</v>
      </c>
      <c r="F128" s="3">
        <v>45323</v>
      </c>
      <c r="G128" s="1">
        <v>5.5E-2</v>
      </c>
      <c r="H128" s="1" t="str">
        <f>("10662671074901")</f>
        <v>10662671074901</v>
      </c>
      <c r="I128" s="1">
        <v>120</v>
      </c>
    </row>
    <row r="129" spans="1:10" x14ac:dyDescent="0.35">
      <c r="A129" s="1" t="s">
        <v>7</v>
      </c>
      <c r="B129" s="1" t="str">
        <f>("662671076007")</f>
        <v>662671076007</v>
      </c>
      <c r="C129" s="1" t="s">
        <v>227</v>
      </c>
      <c r="D129" s="1" t="s">
        <v>228</v>
      </c>
      <c r="E129" s="1">
        <v>29.95</v>
      </c>
      <c r="F129" s="3">
        <v>45323</v>
      </c>
      <c r="G129" s="1">
        <v>5.5E-2</v>
      </c>
      <c r="H129" s="1" t="str">
        <f>("10662671076004")</f>
        <v>10662671076004</v>
      </c>
      <c r="I129" s="1">
        <v>120</v>
      </c>
    </row>
    <row r="130" spans="1:10" x14ac:dyDescent="0.35">
      <c r="A130" s="1" t="s">
        <v>7</v>
      </c>
      <c r="B130" s="1" t="str">
        <f>("662671076014")</f>
        <v>662671076014</v>
      </c>
      <c r="C130" s="1" t="s">
        <v>229</v>
      </c>
      <c r="D130" s="1" t="s">
        <v>230</v>
      </c>
      <c r="E130" s="1">
        <v>25.43</v>
      </c>
      <c r="F130" s="3">
        <v>45323</v>
      </c>
      <c r="G130" s="1">
        <v>5.5E-2</v>
      </c>
      <c r="H130" s="1" t="str">
        <f>("10662671076011")</f>
        <v>10662671076011</v>
      </c>
      <c r="I130" s="1">
        <v>120</v>
      </c>
    </row>
    <row r="131" spans="1:10" x14ac:dyDescent="0.35">
      <c r="A131" s="1" t="s">
        <v>7</v>
      </c>
      <c r="B131" s="1" t="str">
        <f>("662671330130")</f>
        <v>662671330130</v>
      </c>
      <c r="C131" s="1">
        <v>332041</v>
      </c>
      <c r="D131" s="1" t="s">
        <v>231</v>
      </c>
      <c r="E131" s="1">
        <v>29.78</v>
      </c>
      <c r="F131" s="3">
        <v>45323</v>
      </c>
      <c r="G131" s="1">
        <v>0.214</v>
      </c>
      <c r="H131" s="1" t="str">
        <f>("10662671330137")</f>
        <v>10662671330137</v>
      </c>
      <c r="I131" s="1">
        <v>25</v>
      </c>
      <c r="J131" s="1">
        <v>1800</v>
      </c>
    </row>
    <row r="132" spans="1:10" x14ac:dyDescent="0.35">
      <c r="A132" s="1" t="s">
        <v>7</v>
      </c>
      <c r="B132" s="1" t="str">
        <f>("662671330208")</f>
        <v>662671330208</v>
      </c>
      <c r="C132" s="1" t="s">
        <v>232</v>
      </c>
      <c r="D132" s="1" t="s">
        <v>233</v>
      </c>
      <c r="E132" s="1">
        <v>54.57</v>
      </c>
      <c r="F132" s="3">
        <v>45323</v>
      </c>
      <c r="G132" s="1">
        <v>0.23100000000000001</v>
      </c>
      <c r="H132" s="1" t="str">
        <f>("10662671330205")</f>
        <v>10662671330205</v>
      </c>
      <c r="I132" s="1">
        <v>25</v>
      </c>
      <c r="J132" s="1">
        <v>1800</v>
      </c>
    </row>
    <row r="133" spans="1:10" x14ac:dyDescent="0.35">
      <c r="A133" s="1" t="s">
        <v>7</v>
      </c>
      <c r="B133" s="1" t="str">
        <f>("662671330178")</f>
        <v>662671330178</v>
      </c>
      <c r="C133" s="1">
        <v>332042</v>
      </c>
      <c r="D133" s="1" t="s">
        <v>234</v>
      </c>
      <c r="E133" s="1">
        <v>33.64</v>
      </c>
      <c r="F133" s="3">
        <v>45323</v>
      </c>
      <c r="G133" s="1">
        <v>0.214</v>
      </c>
      <c r="H133" s="1" t="str">
        <f>("10662671330175")</f>
        <v>10662671330175</v>
      </c>
      <c r="I133" s="1">
        <v>25</v>
      </c>
      <c r="J133" s="1">
        <v>1800</v>
      </c>
    </row>
    <row r="134" spans="1:10" x14ac:dyDescent="0.35">
      <c r="A134" s="1" t="s">
        <v>7</v>
      </c>
      <c r="B134" s="1" t="str">
        <f>("662671330758")</f>
        <v>662671330758</v>
      </c>
      <c r="C134" s="1" t="s">
        <v>235</v>
      </c>
      <c r="D134" s="1" t="s">
        <v>236</v>
      </c>
      <c r="E134" s="1">
        <v>51.14</v>
      </c>
      <c r="F134" s="3">
        <v>45323</v>
      </c>
      <c r="G134" s="1">
        <v>0.252</v>
      </c>
      <c r="H134" s="1" t="str">
        <f>("10662671330755")</f>
        <v>10662671330755</v>
      </c>
      <c r="I134" s="1">
        <v>25</v>
      </c>
      <c r="J134" s="1">
        <v>1800</v>
      </c>
    </row>
    <row r="135" spans="1:10" x14ac:dyDescent="0.35">
      <c r="A135" s="1" t="s">
        <v>7</v>
      </c>
      <c r="B135" s="1" t="str">
        <f>("662671330055")</f>
        <v>662671330055</v>
      </c>
      <c r="C135" s="1">
        <v>332143</v>
      </c>
      <c r="D135" s="1" t="s">
        <v>237</v>
      </c>
      <c r="E135" s="1">
        <v>31.9</v>
      </c>
      <c r="F135" s="3">
        <v>45323</v>
      </c>
      <c r="G135" s="1">
        <v>0.29199999999999998</v>
      </c>
      <c r="H135" s="1" t="str">
        <f>("10662671330052")</f>
        <v>10662671330052</v>
      </c>
      <c r="I135" s="1">
        <v>10</v>
      </c>
      <c r="J135" s="1">
        <v>720</v>
      </c>
    </row>
    <row r="136" spans="1:10" x14ac:dyDescent="0.35">
      <c r="A136" s="1" t="s">
        <v>7</v>
      </c>
      <c r="B136" s="1" t="str">
        <f>("662671330093")</f>
        <v>662671330093</v>
      </c>
      <c r="C136" s="1" t="s">
        <v>238</v>
      </c>
      <c r="D136" s="1" t="s">
        <v>239</v>
      </c>
      <c r="E136" s="1">
        <v>37.229999999999997</v>
      </c>
      <c r="F136" s="3">
        <v>45323</v>
      </c>
      <c r="G136" s="1">
        <v>0.309</v>
      </c>
      <c r="H136" s="1" t="str">
        <f>("10662671330090")</f>
        <v>10662671330090</v>
      </c>
      <c r="I136" s="1">
        <v>10</v>
      </c>
      <c r="J136" s="1">
        <v>720</v>
      </c>
    </row>
    <row r="137" spans="1:10" x14ac:dyDescent="0.35">
      <c r="A137" s="1" t="s">
        <v>7</v>
      </c>
      <c r="B137" s="1" t="str">
        <f>("662671330062")</f>
        <v>662671330062</v>
      </c>
      <c r="C137" s="1">
        <v>332144</v>
      </c>
      <c r="D137" s="1" t="s">
        <v>240</v>
      </c>
      <c r="E137" s="1">
        <v>43.36</v>
      </c>
      <c r="F137" s="3">
        <v>45323</v>
      </c>
      <c r="G137" s="1">
        <v>0.48099999999999998</v>
      </c>
      <c r="H137" s="1" t="str">
        <f>("10662671330069")</f>
        <v>10662671330069</v>
      </c>
      <c r="I137" s="1">
        <v>6</v>
      </c>
      <c r="J137" s="1">
        <v>432</v>
      </c>
    </row>
    <row r="138" spans="1:10" x14ac:dyDescent="0.35">
      <c r="A138" s="1" t="s">
        <v>7</v>
      </c>
      <c r="B138" s="1" t="str">
        <f>("662671330109")</f>
        <v>662671330109</v>
      </c>
      <c r="C138" s="1" t="s">
        <v>241</v>
      </c>
      <c r="D138" s="1" t="s">
        <v>242</v>
      </c>
      <c r="E138" s="1">
        <v>74.44</v>
      </c>
      <c r="F138" s="3">
        <v>45323</v>
      </c>
      <c r="G138" s="1">
        <v>0.435</v>
      </c>
      <c r="H138" s="1" t="str">
        <f>("10662671330106")</f>
        <v>10662671330106</v>
      </c>
      <c r="I138" s="1">
        <v>6</v>
      </c>
      <c r="J138" s="1">
        <v>432</v>
      </c>
    </row>
    <row r="139" spans="1:10" x14ac:dyDescent="0.35">
      <c r="A139" s="1" t="s">
        <v>7</v>
      </c>
      <c r="B139" s="1" t="str">
        <f>("662671330345")</f>
        <v>662671330345</v>
      </c>
      <c r="C139" s="1">
        <v>332241</v>
      </c>
      <c r="D139" s="1" t="s">
        <v>243</v>
      </c>
      <c r="E139" s="1">
        <v>51.16</v>
      </c>
      <c r="F139" s="3">
        <v>45323</v>
      </c>
      <c r="G139" s="1">
        <v>0.38600000000000001</v>
      </c>
      <c r="H139" s="1" t="str">
        <f>("10662671330342")</f>
        <v>10662671330342</v>
      </c>
      <c r="I139" s="1">
        <v>10</v>
      </c>
      <c r="J139" s="1">
        <v>480</v>
      </c>
    </row>
    <row r="140" spans="1:10" x14ac:dyDescent="0.35">
      <c r="A140" s="1" t="s">
        <v>7</v>
      </c>
      <c r="B140" s="1" t="str">
        <f>("662671330352")</f>
        <v>662671330352</v>
      </c>
      <c r="C140" s="1">
        <v>332242</v>
      </c>
      <c r="D140" s="1" t="s">
        <v>244</v>
      </c>
      <c r="E140" s="1">
        <v>51.16</v>
      </c>
      <c r="F140" s="3">
        <v>45323</v>
      </c>
      <c r="G140" s="1">
        <v>0.39</v>
      </c>
      <c r="H140" s="1" t="str">
        <f>("10662671330359")</f>
        <v>10662671330359</v>
      </c>
      <c r="I140" s="1">
        <v>10</v>
      </c>
      <c r="J140" s="1">
        <v>480</v>
      </c>
    </row>
    <row r="141" spans="1:10" x14ac:dyDescent="0.35">
      <c r="A141" s="1" t="s">
        <v>7</v>
      </c>
      <c r="B141" s="1" t="str">
        <f>("662671330369")</f>
        <v>662671330369</v>
      </c>
      <c r="C141" s="1" t="s">
        <v>245</v>
      </c>
      <c r="D141" s="1" t="s">
        <v>246</v>
      </c>
      <c r="E141" s="1">
        <v>65.39</v>
      </c>
      <c r="F141" s="3">
        <v>45323</v>
      </c>
      <c r="G141" s="1">
        <v>0.42899999999999999</v>
      </c>
      <c r="H141" s="1" t="str">
        <f>("10662671330366")</f>
        <v>10662671330366</v>
      </c>
      <c r="I141" s="1">
        <v>10</v>
      </c>
      <c r="J141" s="1">
        <v>480</v>
      </c>
    </row>
    <row r="142" spans="1:10" x14ac:dyDescent="0.35">
      <c r="A142" s="1" t="s">
        <v>7</v>
      </c>
      <c r="B142" s="1" t="str">
        <f>("662671330574")</f>
        <v>662671330574</v>
      </c>
      <c r="C142" s="1" t="s">
        <v>247</v>
      </c>
      <c r="D142" s="1" t="s">
        <v>248</v>
      </c>
      <c r="E142" s="1">
        <v>58.82</v>
      </c>
      <c r="F142" s="3">
        <v>45323</v>
      </c>
      <c r="G142" s="1">
        <v>0.41899999999999998</v>
      </c>
      <c r="H142" s="1" t="str">
        <f>("10662671330571")</f>
        <v>10662671330571</v>
      </c>
      <c r="I142" s="1">
        <v>10</v>
      </c>
      <c r="J142" s="1">
        <v>480</v>
      </c>
    </row>
    <row r="143" spans="1:10" x14ac:dyDescent="0.35">
      <c r="A143" s="1" t="s">
        <v>7</v>
      </c>
      <c r="B143" s="1" t="str">
        <f>("662671330536")</f>
        <v>662671330536</v>
      </c>
      <c r="C143" s="1" t="s">
        <v>249</v>
      </c>
      <c r="D143" s="1" t="s">
        <v>250</v>
      </c>
      <c r="E143" s="1">
        <v>65.39</v>
      </c>
      <c r="F143" s="3">
        <v>45323</v>
      </c>
      <c r="G143" s="1">
        <v>0.44500000000000001</v>
      </c>
      <c r="H143" s="1" t="str">
        <f>("10662671330533")</f>
        <v>10662671330533</v>
      </c>
      <c r="I143" s="1">
        <v>10</v>
      </c>
      <c r="J143" s="1">
        <v>480</v>
      </c>
    </row>
    <row r="144" spans="1:10" x14ac:dyDescent="0.35">
      <c r="A144" s="1" t="s">
        <v>7</v>
      </c>
      <c r="B144" s="1" t="str">
        <f>("662671330451")</f>
        <v>662671330451</v>
      </c>
      <c r="C144" s="1">
        <v>332542</v>
      </c>
      <c r="D144" s="1" t="s">
        <v>251</v>
      </c>
      <c r="E144" s="1">
        <v>42.04</v>
      </c>
      <c r="F144" s="3">
        <v>45323</v>
      </c>
      <c r="G144" s="1">
        <v>0.24</v>
      </c>
      <c r="H144" s="1" t="str">
        <f>("10662671330458")</f>
        <v>10662671330458</v>
      </c>
      <c r="I144" s="1">
        <v>8</v>
      </c>
      <c r="J144" s="1">
        <v>1152</v>
      </c>
    </row>
    <row r="145" spans="1:10" x14ac:dyDescent="0.35">
      <c r="A145" s="1" t="s">
        <v>7</v>
      </c>
      <c r="B145" s="1" t="str">
        <f>("662671330468")</f>
        <v>662671330468</v>
      </c>
      <c r="C145" s="1" t="s">
        <v>252</v>
      </c>
      <c r="D145" s="1" t="s">
        <v>253</v>
      </c>
      <c r="E145" s="1">
        <v>54.02</v>
      </c>
      <c r="F145" s="3">
        <v>45323</v>
      </c>
      <c r="G145" s="1">
        <v>0.25600000000000001</v>
      </c>
      <c r="H145" s="1" t="str">
        <f>("10662671330465")</f>
        <v>10662671330465</v>
      </c>
      <c r="I145" s="1">
        <v>8</v>
      </c>
      <c r="J145" s="1">
        <v>1152</v>
      </c>
    </row>
    <row r="146" spans="1:10" x14ac:dyDescent="0.35">
      <c r="A146" s="1" t="s">
        <v>7</v>
      </c>
      <c r="B146" s="1" t="str">
        <f>("662671330123")</f>
        <v>662671330123</v>
      </c>
      <c r="C146" s="1">
        <v>332804</v>
      </c>
      <c r="D146" s="1" t="s">
        <v>254</v>
      </c>
      <c r="E146" s="1">
        <v>53.5</v>
      </c>
      <c r="F146" s="3">
        <v>45323</v>
      </c>
      <c r="G146" s="1">
        <v>0.40100000000000002</v>
      </c>
      <c r="H146" s="1" t="str">
        <f>("10662671330120")</f>
        <v>10662671330120</v>
      </c>
      <c r="I146" s="1">
        <v>25</v>
      </c>
      <c r="J146" s="1">
        <v>800</v>
      </c>
    </row>
    <row r="147" spans="1:10" x14ac:dyDescent="0.35">
      <c r="A147" s="1" t="s">
        <v>7</v>
      </c>
      <c r="B147" s="1" t="str">
        <f>("662671333377")</f>
        <v>662671333377</v>
      </c>
      <c r="C147" s="1" t="s">
        <v>255</v>
      </c>
      <c r="D147" s="1" t="s">
        <v>256</v>
      </c>
      <c r="E147" s="1">
        <v>14.89</v>
      </c>
      <c r="F147" s="3">
        <v>45323</v>
      </c>
      <c r="G147" s="1">
        <v>6.5000000000000002E-2</v>
      </c>
      <c r="H147" s="1" t="str">
        <f>("10662671333374")</f>
        <v>10662671333374</v>
      </c>
      <c r="I147" s="1">
        <v>200</v>
      </c>
    </row>
    <row r="148" spans="1:10" x14ac:dyDescent="0.35">
      <c r="A148" s="1" t="s">
        <v>7</v>
      </c>
      <c r="B148" s="1" t="str">
        <f>("662671333407")</f>
        <v>662671333407</v>
      </c>
      <c r="C148" s="1" t="s">
        <v>257</v>
      </c>
      <c r="D148" s="1" t="s">
        <v>258</v>
      </c>
      <c r="E148" s="1">
        <v>25.31</v>
      </c>
      <c r="F148" s="3">
        <v>45323</v>
      </c>
      <c r="G148" s="1">
        <v>2.9000000000000001E-2</v>
      </c>
      <c r="H148" s="1" t="str">
        <f>("10662671333404")</f>
        <v>10662671333404</v>
      </c>
      <c r="I148" s="1">
        <v>200</v>
      </c>
    </row>
    <row r="149" spans="1:10" x14ac:dyDescent="0.35">
      <c r="A149" s="1" t="s">
        <v>7</v>
      </c>
      <c r="B149" s="1" t="str">
        <f>("662671333469")</f>
        <v>662671333469</v>
      </c>
      <c r="C149" s="1" t="s">
        <v>259</v>
      </c>
      <c r="D149" s="1" t="s">
        <v>260</v>
      </c>
      <c r="E149" s="1">
        <v>25.36</v>
      </c>
      <c r="F149" s="3">
        <v>45323</v>
      </c>
      <c r="G149" s="1">
        <v>2.5999999999999999E-2</v>
      </c>
      <c r="H149" s="1" t="str">
        <f>("10662671333466")</f>
        <v>10662671333466</v>
      </c>
      <c r="I149" s="1">
        <v>200</v>
      </c>
    </row>
    <row r="150" spans="1:10" x14ac:dyDescent="0.35">
      <c r="A150" s="1" t="s">
        <v>7</v>
      </c>
      <c r="B150" s="1" t="str">
        <f>("662671330765")</f>
        <v>662671330765</v>
      </c>
      <c r="C150" s="1" t="s">
        <v>261</v>
      </c>
      <c r="D150" s="1" t="s">
        <v>262</v>
      </c>
      <c r="E150" s="1">
        <v>64.97</v>
      </c>
      <c r="F150" s="3">
        <v>45323</v>
      </c>
      <c r="G150" s="1">
        <v>0.13</v>
      </c>
      <c r="H150" s="1" t="str">
        <f>("10662671330762")</f>
        <v>10662671330762</v>
      </c>
      <c r="I150" s="1">
        <v>60</v>
      </c>
    </row>
    <row r="151" spans="1:10" x14ac:dyDescent="0.35">
      <c r="A151" s="1" t="s">
        <v>7</v>
      </c>
      <c r="B151" s="1" t="str">
        <f>("662671333384")</f>
        <v>662671333384</v>
      </c>
      <c r="C151" s="1" t="s">
        <v>263</v>
      </c>
      <c r="D151" s="1" t="s">
        <v>264</v>
      </c>
      <c r="E151" s="1">
        <v>51.94</v>
      </c>
      <c r="F151" s="3">
        <v>45323</v>
      </c>
      <c r="G151" s="1">
        <v>0.125</v>
      </c>
      <c r="H151" s="1" t="str">
        <f>("10662671333381")</f>
        <v>10662671333381</v>
      </c>
      <c r="I151" s="1">
        <v>60</v>
      </c>
    </row>
    <row r="152" spans="1:10" x14ac:dyDescent="0.35">
      <c r="A152" s="1" t="s">
        <v>7</v>
      </c>
      <c r="B152" s="1" t="str">
        <f>("662671333476")</f>
        <v>662671333476</v>
      </c>
      <c r="C152" s="1" t="s">
        <v>265</v>
      </c>
      <c r="D152" s="1" t="s">
        <v>266</v>
      </c>
      <c r="E152" s="1">
        <v>51.94</v>
      </c>
      <c r="F152" s="3">
        <v>45323</v>
      </c>
      <c r="G152" s="1">
        <v>0.128</v>
      </c>
      <c r="H152" s="1" t="str">
        <f>("10662671333473")</f>
        <v>10662671333473</v>
      </c>
      <c r="I152" s="1">
        <v>60</v>
      </c>
    </row>
    <row r="153" spans="1:10" x14ac:dyDescent="0.35">
      <c r="A153" s="1" t="s">
        <v>7</v>
      </c>
      <c r="B153" s="1" t="str">
        <f>("662671330222")</f>
        <v>662671330222</v>
      </c>
      <c r="C153" s="1">
        <v>332806</v>
      </c>
      <c r="D153" s="1" t="s">
        <v>267</v>
      </c>
      <c r="E153" s="1">
        <v>82.8</v>
      </c>
      <c r="F153" s="3">
        <v>45323</v>
      </c>
      <c r="G153" s="1">
        <v>0.43099999999999999</v>
      </c>
      <c r="H153" s="1" t="str">
        <f>("10662671330229")</f>
        <v>10662671330229</v>
      </c>
      <c r="I153" s="1">
        <v>25</v>
      </c>
      <c r="J153" s="1">
        <v>800</v>
      </c>
    </row>
    <row r="154" spans="1:10" x14ac:dyDescent="0.35">
      <c r="A154" s="1" t="s">
        <v>7</v>
      </c>
      <c r="B154" s="1" t="str">
        <f>("662671333339")</f>
        <v>662671333339</v>
      </c>
      <c r="C154" s="1" t="s">
        <v>268</v>
      </c>
      <c r="D154" s="1" t="s">
        <v>269</v>
      </c>
      <c r="E154" s="1">
        <v>34.69</v>
      </c>
      <c r="F154" s="3">
        <v>45323</v>
      </c>
      <c r="G154" s="1">
        <v>0.125</v>
      </c>
      <c r="H154" s="1" t="str">
        <f>("10662671333336")</f>
        <v>10662671333336</v>
      </c>
      <c r="I154" s="1">
        <v>60</v>
      </c>
    </row>
    <row r="155" spans="1:10" x14ac:dyDescent="0.35">
      <c r="A155" s="1" t="s">
        <v>7</v>
      </c>
      <c r="B155" s="1" t="str">
        <f>("662671333438")</f>
        <v>662671333438</v>
      </c>
      <c r="C155" s="1" t="s">
        <v>270</v>
      </c>
      <c r="D155" s="1" t="s">
        <v>271</v>
      </c>
      <c r="E155" s="1">
        <v>39.07</v>
      </c>
      <c r="F155" s="3">
        <v>45323</v>
      </c>
      <c r="G155" s="1">
        <v>0.125</v>
      </c>
      <c r="H155" s="1" t="str">
        <f>("10662671333435")</f>
        <v>10662671333435</v>
      </c>
      <c r="I155" s="1">
        <v>60</v>
      </c>
    </row>
    <row r="156" spans="1:10" x14ac:dyDescent="0.35">
      <c r="A156" s="1" t="s">
        <v>7</v>
      </c>
      <c r="B156" s="1" t="str">
        <f>("662671018762")</f>
        <v>662671018762</v>
      </c>
      <c r="C156" s="1" t="s">
        <v>272</v>
      </c>
      <c r="D156" s="1" t="s">
        <v>273</v>
      </c>
      <c r="E156" s="1">
        <v>39.619999999999997</v>
      </c>
      <c r="F156" s="3">
        <v>45323</v>
      </c>
      <c r="G156" s="1">
        <v>0.125</v>
      </c>
      <c r="H156" s="1" t="str">
        <f>("10662671018769")</f>
        <v>10662671018769</v>
      </c>
      <c r="I156" s="1">
        <v>60</v>
      </c>
    </row>
    <row r="157" spans="1:10" x14ac:dyDescent="0.35">
      <c r="A157" s="1" t="s">
        <v>7</v>
      </c>
      <c r="B157" s="1" t="str">
        <f>("662671330857")</f>
        <v>662671330857</v>
      </c>
      <c r="C157" s="1" t="s">
        <v>274</v>
      </c>
      <c r="D157" s="1" t="s">
        <v>275</v>
      </c>
      <c r="E157" s="1">
        <v>23.11</v>
      </c>
      <c r="F157" s="3">
        <v>45323</v>
      </c>
      <c r="G157" s="1">
        <v>4.1000000000000002E-2</v>
      </c>
      <c r="H157" s="1" t="str">
        <f>("10662671330854")</f>
        <v>10662671330854</v>
      </c>
      <c r="I157" s="1">
        <v>200</v>
      </c>
    </row>
    <row r="158" spans="1:10" x14ac:dyDescent="0.35">
      <c r="A158" s="1" t="s">
        <v>7</v>
      </c>
      <c r="B158" s="1" t="str">
        <f>("662671330680")</f>
        <v>662671330680</v>
      </c>
      <c r="C158" s="1" t="s">
        <v>276</v>
      </c>
      <c r="D158" s="1" t="s">
        <v>277</v>
      </c>
      <c r="E158" s="1">
        <v>81.42</v>
      </c>
      <c r="F158" s="3">
        <v>45323</v>
      </c>
      <c r="G158" s="1">
        <v>0.627</v>
      </c>
      <c r="H158" s="1" t="str">
        <f>("10662671330687")</f>
        <v>10662671330687</v>
      </c>
      <c r="I158" s="1">
        <v>15</v>
      </c>
      <c r="J158" s="1">
        <v>480</v>
      </c>
    </row>
    <row r="159" spans="1:10" x14ac:dyDescent="0.35">
      <c r="A159" s="1" t="s">
        <v>7</v>
      </c>
      <c r="B159" s="1" t="str">
        <f>("662671330277")</f>
        <v>662671330277</v>
      </c>
      <c r="C159" s="1">
        <v>332904</v>
      </c>
      <c r="D159" s="1" t="s">
        <v>278</v>
      </c>
      <c r="E159" s="1">
        <v>58.69</v>
      </c>
      <c r="F159" s="3">
        <v>45323</v>
      </c>
      <c r="G159" s="1">
        <v>0.40699999999999997</v>
      </c>
      <c r="H159" s="1" t="str">
        <f>("10662671330274")</f>
        <v>10662671330274</v>
      </c>
      <c r="I159" s="1">
        <v>25</v>
      </c>
      <c r="J159" s="1">
        <v>800</v>
      </c>
    </row>
    <row r="160" spans="1:10" x14ac:dyDescent="0.35">
      <c r="A160" s="1" t="s">
        <v>7</v>
      </c>
      <c r="B160" s="1" t="str">
        <f>("662671330703")</f>
        <v>662671330703</v>
      </c>
      <c r="C160" s="1" t="s">
        <v>279</v>
      </c>
      <c r="D160" s="1" t="s">
        <v>280</v>
      </c>
      <c r="E160" s="1">
        <v>78.14</v>
      </c>
      <c r="F160" s="3">
        <v>45323</v>
      </c>
      <c r="G160" s="1">
        <v>0.65700000000000003</v>
      </c>
      <c r="H160" s="1" t="str">
        <f>("10662671330700")</f>
        <v>10662671330700</v>
      </c>
      <c r="I160" s="1">
        <v>15</v>
      </c>
      <c r="J160" s="1">
        <v>480</v>
      </c>
    </row>
    <row r="161" spans="1:10" x14ac:dyDescent="0.35">
      <c r="A161" s="1" t="s">
        <v>7</v>
      </c>
      <c r="B161" s="1" t="str">
        <f>("662671330284")</f>
        <v>662671330284</v>
      </c>
      <c r="C161" s="1">
        <v>332906</v>
      </c>
      <c r="D161" s="1" t="s">
        <v>281</v>
      </c>
      <c r="E161" s="1">
        <v>75.61</v>
      </c>
      <c r="F161" s="3">
        <v>45323</v>
      </c>
      <c r="G161" s="1">
        <v>0.437</v>
      </c>
      <c r="H161" s="1" t="str">
        <f>("10662671330281")</f>
        <v>10662671330281</v>
      </c>
      <c r="I161" s="1">
        <v>25</v>
      </c>
      <c r="J161" s="1">
        <v>800</v>
      </c>
    </row>
    <row r="162" spans="1:10" x14ac:dyDescent="0.35">
      <c r="A162" s="1" t="s">
        <v>7</v>
      </c>
      <c r="B162" s="1" t="str">
        <f>("662671330734")</f>
        <v>662671330734</v>
      </c>
      <c r="C162" s="1" t="s">
        <v>282</v>
      </c>
      <c r="D162" s="1" t="s">
        <v>283</v>
      </c>
      <c r="E162" s="1">
        <v>92.37</v>
      </c>
      <c r="F162" s="3">
        <v>45323</v>
      </c>
      <c r="G162" s="1">
        <v>0.65200000000000002</v>
      </c>
      <c r="H162" s="1" t="str">
        <f>("10662671330731")</f>
        <v>10662671330731</v>
      </c>
      <c r="I162" s="1">
        <v>15</v>
      </c>
      <c r="J162" s="1">
        <v>480</v>
      </c>
    </row>
    <row r="163" spans="1:10" x14ac:dyDescent="0.35">
      <c r="A163" s="1" t="s">
        <v>7</v>
      </c>
      <c r="B163" s="1" t="str">
        <f>("662671330291")</f>
        <v>662671330291</v>
      </c>
      <c r="C163" s="1">
        <v>332908</v>
      </c>
      <c r="D163" s="1" t="s">
        <v>284</v>
      </c>
      <c r="E163" s="1">
        <v>69.86</v>
      </c>
      <c r="F163" s="3">
        <v>45323</v>
      </c>
      <c r="G163" s="1">
        <v>0.432</v>
      </c>
      <c r="H163" s="1" t="str">
        <f>("10662671330298")</f>
        <v>10662671330298</v>
      </c>
      <c r="I163" s="1">
        <v>25</v>
      </c>
      <c r="J163" s="1">
        <v>800</v>
      </c>
    </row>
    <row r="164" spans="1:10" x14ac:dyDescent="0.35">
      <c r="A164" s="1" t="s">
        <v>7</v>
      </c>
      <c r="B164" s="1" t="str">
        <f>("662671331328")</f>
        <v>662671331328</v>
      </c>
      <c r="C164" s="1" t="s">
        <v>285</v>
      </c>
      <c r="D164" s="1" t="s">
        <v>286</v>
      </c>
      <c r="E164" s="1">
        <v>126.66</v>
      </c>
      <c r="F164" s="3">
        <v>45323</v>
      </c>
      <c r="G164" s="1">
        <v>0.48899999999999999</v>
      </c>
      <c r="H164" s="1" t="str">
        <f>("10662671331325")</f>
        <v>10662671331325</v>
      </c>
      <c r="I164" s="1">
        <v>25</v>
      </c>
    </row>
    <row r="165" spans="1:10" x14ac:dyDescent="0.35">
      <c r="A165" s="1" t="s">
        <v>7</v>
      </c>
      <c r="B165" s="1" t="str">
        <f>("662671333032")</f>
        <v>662671333032</v>
      </c>
      <c r="C165" s="1" t="s">
        <v>287</v>
      </c>
      <c r="D165" s="1" t="s">
        <v>288</v>
      </c>
      <c r="E165" s="1">
        <v>34.200000000000003</v>
      </c>
      <c r="F165" s="3">
        <v>45323</v>
      </c>
      <c r="G165" s="1">
        <v>0.48799999999999999</v>
      </c>
      <c r="H165" s="1" t="str">
        <f>("10662671333039")</f>
        <v>10662671333039</v>
      </c>
      <c r="I165" s="1">
        <v>25</v>
      </c>
    </row>
    <row r="166" spans="1:10" x14ac:dyDescent="0.35">
      <c r="A166" s="1" t="s">
        <v>7</v>
      </c>
      <c r="B166" s="1" t="str">
        <f>("662671331007")</f>
        <v>662671331007</v>
      </c>
      <c r="C166" s="1" t="s">
        <v>289</v>
      </c>
      <c r="D166" s="1" t="s">
        <v>290</v>
      </c>
      <c r="E166" s="1">
        <v>15.13</v>
      </c>
      <c r="F166" s="3">
        <v>45323</v>
      </c>
      <c r="G166" s="1">
        <v>0.29599999999999999</v>
      </c>
      <c r="H166" s="1" t="str">
        <f>("10662671331004")</f>
        <v>10662671331004</v>
      </c>
      <c r="I166" s="1">
        <v>50</v>
      </c>
    </row>
    <row r="167" spans="1:10" x14ac:dyDescent="0.35">
      <c r="A167" s="1" t="s">
        <v>7</v>
      </c>
      <c r="B167" s="1" t="str">
        <f>("662671331106")</f>
        <v>662671331106</v>
      </c>
      <c r="C167" s="1" t="s">
        <v>291</v>
      </c>
      <c r="D167" s="1" t="s">
        <v>292</v>
      </c>
      <c r="E167" s="1">
        <v>12.36</v>
      </c>
      <c r="F167" s="3">
        <v>45323</v>
      </c>
      <c r="G167" s="1">
        <v>0.27300000000000002</v>
      </c>
      <c r="H167" s="1" t="str">
        <f>("10662671331103")</f>
        <v>10662671331103</v>
      </c>
      <c r="I167" s="1">
        <v>50</v>
      </c>
    </row>
    <row r="168" spans="1:10" x14ac:dyDescent="0.35">
      <c r="A168" s="1" t="s">
        <v>7</v>
      </c>
      <c r="B168" s="1" t="str">
        <f>("662671331120")</f>
        <v>662671331120</v>
      </c>
      <c r="C168" s="1" t="s">
        <v>293</v>
      </c>
      <c r="D168" s="1" t="s">
        <v>294</v>
      </c>
      <c r="E168" s="1">
        <v>15.7</v>
      </c>
      <c r="F168" s="3">
        <v>45323</v>
      </c>
      <c r="G168" s="1">
        <v>0.32200000000000001</v>
      </c>
      <c r="H168" s="1" t="str">
        <f>("10662671331127")</f>
        <v>10662671331127</v>
      </c>
      <c r="I168" s="1">
        <v>50</v>
      </c>
    </row>
    <row r="169" spans="1:10" x14ac:dyDescent="0.35">
      <c r="A169" s="1" t="s">
        <v>7</v>
      </c>
      <c r="B169" s="1" t="str">
        <f>("662671333445")</f>
        <v>662671333445</v>
      </c>
      <c r="C169" s="1" t="s">
        <v>295</v>
      </c>
      <c r="D169" s="1" t="s">
        <v>296</v>
      </c>
      <c r="E169" s="1">
        <v>75.38</v>
      </c>
      <c r="F169" s="3">
        <v>45323</v>
      </c>
      <c r="G169" s="1">
        <v>0.626</v>
      </c>
      <c r="H169" s="1" t="str">
        <f>("10662671333442")</f>
        <v>10662671333442</v>
      </c>
      <c r="I169" s="1">
        <v>10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B8F56F0E2BDD4DAA18BC300C211392" ma:contentTypeVersion="14" ma:contentTypeDescription="Create a new document." ma:contentTypeScope="" ma:versionID="6a3f44c28c8a6b8512448349b60ee6aa">
  <xsd:schema xmlns:xsd="http://www.w3.org/2001/XMLSchema" xmlns:xs="http://www.w3.org/2001/XMLSchema" xmlns:p="http://schemas.microsoft.com/office/2006/metadata/properties" xmlns:ns2="dcb317e3-5bca-4665-8c30-bc1548e7cfa5" xmlns:ns3="f9fb5912-8fa2-4b04-a0bd-a7dc4d388eac" targetNamespace="http://schemas.microsoft.com/office/2006/metadata/properties" ma:root="true" ma:fieldsID="7d5a834340989732e5e2a7bff1c2d735" ns2:_="" ns3:_="">
    <xsd:import namespace="dcb317e3-5bca-4665-8c30-bc1548e7cfa5"/>
    <xsd:import namespace="f9fb5912-8fa2-4b04-a0bd-a7dc4d388ea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b317e3-5bca-4665-8c30-bc1548e7cfa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4594a770-4dd8-4e41-968d-6a53c5bf2f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b5912-8fa2-4b04-a0bd-a7dc4d388ea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cb45d942-1985-49d4-affc-0fdd1e6e4d07}" ma:internalName="TaxCatchAll" ma:showField="CatchAllData" ma:web="f9fb5912-8fa2-4b04-a0bd-a7dc4d388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b317e3-5bca-4665-8c30-bc1548e7cfa5">
      <Terms xmlns="http://schemas.microsoft.com/office/infopath/2007/PartnerControls"/>
    </lcf76f155ced4ddcb4097134ff3c332f>
    <TaxCatchAll xmlns="f9fb5912-8fa2-4b04-a0bd-a7dc4d388eac" xsi:nil="true"/>
  </documentManagement>
</p:properties>
</file>

<file path=customXml/itemProps1.xml><?xml version="1.0" encoding="utf-8"?>
<ds:datastoreItem xmlns:ds="http://schemas.openxmlformats.org/officeDocument/2006/customXml" ds:itemID="{FFA56B78-4E1F-4802-A6A8-A3ECEA60F9D8}"/>
</file>

<file path=customXml/itemProps2.xml><?xml version="1.0" encoding="utf-8"?>
<ds:datastoreItem xmlns:ds="http://schemas.openxmlformats.org/officeDocument/2006/customXml" ds:itemID="{9FC9F581-00CF-470A-A73F-69E50B2863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76A466-3617-4053-8B79-CE1789A56406}">
  <ds:schemaRefs>
    <ds:schemaRef ds:uri="http://purl.org/dc/elements/1.1/"/>
    <ds:schemaRef ds:uri="http://schemas.openxmlformats.org/package/2006/metadata/core-properties"/>
    <ds:schemaRef ds:uri="http://purl.org/dc/terms/"/>
    <ds:schemaRef ds:uri="http://purl.org/dc/dcmitype/"/>
    <ds:schemaRef ds:uri="76fd90fa-ed7f-49d1-b116-a371fe2e877a"/>
    <ds:schemaRef ds:uri="http://schemas.microsoft.com/office/2006/documentManagement/types"/>
    <ds:schemaRef ds:uri="http://schemas.microsoft.com/office/infopath/2007/PartnerControls"/>
    <ds:schemaRef ds:uri="41ba6191-8548-4a51-a503-7c130ef478ea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CPS-0224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Holmes, Louise</cp:lastModifiedBy>
  <dcterms:created xsi:type="dcterms:W3CDTF">2023-11-28T16:34:15Z</dcterms:created>
  <dcterms:modified xsi:type="dcterms:W3CDTF">2023-12-07T20:13:32Z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0x0101002AB8F56F0E2BDD4DAA18BC300C211392</vt:lpwstr>
  </property>
</Properties>
</file>