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new C10 proofs\"/>
    </mc:Choice>
  </mc:AlternateContent>
  <xr:revisionPtr revIDLastSave="0" documentId="13_ncr:1_{C09836C6-422D-4F04-9F43-12834619BA52}" xr6:coauthVersionLast="47" xr6:coauthVersionMax="47" xr10:uidLastSave="{00000000-0000-0000-0000-000000000000}"/>
  <bookViews>
    <workbookView xWindow="1170" yWindow="1170" windowWidth="22785" windowHeight="13410" xr2:uid="{00000000-000D-0000-FFFF-FFFF00000000}"/>
  </bookViews>
  <sheets>
    <sheet name="C10-11-FR-02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2" i="2" l="1"/>
  <c r="B382" i="2"/>
  <c r="H381" i="2"/>
  <c r="B381" i="2"/>
  <c r="H380" i="2"/>
  <c r="B380" i="2"/>
  <c r="H379" i="2"/>
  <c r="B379" i="2"/>
  <c r="H378" i="2"/>
  <c r="B378" i="2"/>
  <c r="H377" i="2"/>
  <c r="B377" i="2"/>
  <c r="H376" i="2"/>
  <c r="B376" i="2"/>
  <c r="H375" i="2"/>
  <c r="B375" i="2"/>
  <c r="H374" i="2"/>
  <c r="B374" i="2"/>
  <c r="H373" i="2"/>
  <c r="B373" i="2"/>
  <c r="H372" i="2"/>
  <c r="B372" i="2"/>
  <c r="H371" i="2"/>
  <c r="B371" i="2"/>
  <c r="H370" i="2"/>
  <c r="B370" i="2"/>
  <c r="H369" i="2"/>
  <c r="B369" i="2"/>
  <c r="H368" i="2"/>
  <c r="B368" i="2"/>
  <c r="H367" i="2"/>
  <c r="B367" i="2"/>
  <c r="H366" i="2"/>
  <c r="B366" i="2"/>
  <c r="H365" i="2"/>
  <c r="B365" i="2"/>
  <c r="H364" i="2"/>
  <c r="B364" i="2"/>
  <c r="H363" i="2"/>
  <c r="B363" i="2"/>
  <c r="H362" i="2"/>
  <c r="B362" i="2"/>
  <c r="H361" i="2"/>
  <c r="B361" i="2"/>
  <c r="H360" i="2"/>
  <c r="B360" i="2"/>
  <c r="H359" i="2"/>
  <c r="B359" i="2"/>
  <c r="H358" i="2"/>
  <c r="B358" i="2"/>
  <c r="H357" i="2"/>
  <c r="B357" i="2"/>
  <c r="H356" i="2"/>
  <c r="B356" i="2"/>
  <c r="H355" i="2"/>
  <c r="B355" i="2"/>
  <c r="H354" i="2"/>
  <c r="B354" i="2"/>
  <c r="H353" i="2"/>
  <c r="B353" i="2"/>
  <c r="H352" i="2"/>
  <c r="B352" i="2"/>
  <c r="H351" i="2"/>
  <c r="B351" i="2"/>
  <c r="H350" i="2"/>
  <c r="B350" i="2"/>
  <c r="H349" i="2"/>
  <c r="B349" i="2"/>
  <c r="H348" i="2"/>
  <c r="B348" i="2"/>
  <c r="H347" i="2"/>
  <c r="B347" i="2"/>
  <c r="H346" i="2"/>
  <c r="B346" i="2"/>
  <c r="H345" i="2"/>
  <c r="B345" i="2"/>
  <c r="H344" i="2"/>
  <c r="B344" i="2"/>
  <c r="H343" i="2"/>
  <c r="B343" i="2"/>
  <c r="H342" i="2"/>
  <c r="B342" i="2"/>
  <c r="H341" i="2"/>
  <c r="B341" i="2"/>
  <c r="H340" i="2"/>
  <c r="B340" i="2"/>
  <c r="H339" i="2"/>
  <c r="B339" i="2"/>
  <c r="H338" i="2"/>
  <c r="B338" i="2"/>
  <c r="H337" i="2"/>
  <c r="B337" i="2"/>
  <c r="H336" i="2"/>
  <c r="B336" i="2"/>
  <c r="H335" i="2"/>
  <c r="B335" i="2"/>
  <c r="H334" i="2"/>
  <c r="B334" i="2"/>
  <c r="H333" i="2"/>
  <c r="B333" i="2"/>
  <c r="H332" i="2"/>
  <c r="B332" i="2"/>
  <c r="H331" i="2"/>
  <c r="B331" i="2"/>
  <c r="H330" i="2"/>
  <c r="B330" i="2"/>
  <c r="H329" i="2"/>
  <c r="B329" i="2"/>
  <c r="H328" i="2"/>
  <c r="B328" i="2"/>
  <c r="H327" i="2"/>
  <c r="B327" i="2"/>
  <c r="H326" i="2"/>
  <c r="B326" i="2"/>
  <c r="H325" i="2"/>
  <c r="B325" i="2"/>
  <c r="H324" i="2"/>
  <c r="B324" i="2"/>
  <c r="H323" i="2"/>
  <c r="B323" i="2"/>
  <c r="H322" i="2"/>
  <c r="B322" i="2"/>
  <c r="H321" i="2"/>
  <c r="B321" i="2"/>
  <c r="H320" i="2"/>
  <c r="B320" i="2"/>
  <c r="H319" i="2"/>
  <c r="B319" i="2"/>
  <c r="H318" i="2"/>
  <c r="B318" i="2"/>
  <c r="H317" i="2"/>
  <c r="B317" i="2"/>
  <c r="H316" i="2"/>
  <c r="B316" i="2"/>
  <c r="H315" i="2"/>
  <c r="B315" i="2"/>
  <c r="H314" i="2"/>
  <c r="B314" i="2"/>
  <c r="H313" i="2"/>
  <c r="B313" i="2"/>
  <c r="H312" i="2"/>
  <c r="B312" i="2"/>
  <c r="H311" i="2"/>
  <c r="B311" i="2"/>
  <c r="H310" i="2"/>
  <c r="B310" i="2"/>
  <c r="H309" i="2"/>
  <c r="B309" i="2"/>
  <c r="H308" i="2"/>
  <c r="B308" i="2"/>
  <c r="H307" i="2"/>
  <c r="B307" i="2"/>
  <c r="H306" i="2"/>
  <c r="B306" i="2"/>
  <c r="H305" i="2"/>
  <c r="B305" i="2"/>
  <c r="H304" i="2"/>
  <c r="B304" i="2"/>
  <c r="H303" i="2"/>
  <c r="B303" i="2"/>
  <c r="H302" i="2"/>
  <c r="B302" i="2"/>
  <c r="H301" i="2"/>
  <c r="B301" i="2"/>
  <c r="H300" i="2"/>
  <c r="B300" i="2"/>
  <c r="H299" i="2"/>
  <c r="B299" i="2"/>
  <c r="H298" i="2"/>
  <c r="B298" i="2"/>
  <c r="H297" i="2"/>
  <c r="B297" i="2"/>
  <c r="H296" i="2"/>
  <c r="B296" i="2"/>
  <c r="H295" i="2"/>
  <c r="B295" i="2"/>
  <c r="H294" i="2"/>
  <c r="B294" i="2"/>
  <c r="H293" i="2"/>
  <c r="B293" i="2"/>
  <c r="H292" i="2"/>
  <c r="B292" i="2"/>
  <c r="H291" i="2"/>
  <c r="B291" i="2"/>
  <c r="H290" i="2"/>
  <c r="B290" i="2"/>
  <c r="H289" i="2"/>
  <c r="B289" i="2"/>
  <c r="H288" i="2"/>
  <c r="B288" i="2"/>
  <c r="H287" i="2"/>
  <c r="B287" i="2"/>
  <c r="H286" i="2"/>
  <c r="B286" i="2"/>
  <c r="H285" i="2"/>
  <c r="B285" i="2"/>
  <c r="H284" i="2"/>
  <c r="B284" i="2"/>
  <c r="H283" i="2"/>
  <c r="B283" i="2"/>
  <c r="H282" i="2"/>
  <c r="B282" i="2"/>
  <c r="H281" i="2"/>
  <c r="B281" i="2"/>
  <c r="H280" i="2"/>
  <c r="B280" i="2"/>
  <c r="H279" i="2"/>
  <c r="B279" i="2"/>
  <c r="H278" i="2"/>
  <c r="B278" i="2"/>
  <c r="H277" i="2"/>
  <c r="B277" i="2"/>
  <c r="H276" i="2"/>
  <c r="B276" i="2"/>
  <c r="H275" i="2"/>
  <c r="B275" i="2"/>
  <c r="H274" i="2"/>
  <c r="B274" i="2"/>
  <c r="H273" i="2"/>
  <c r="B273" i="2"/>
  <c r="H272" i="2"/>
  <c r="B272" i="2"/>
  <c r="H271" i="2"/>
  <c r="B271" i="2"/>
  <c r="H270" i="2"/>
  <c r="B270" i="2"/>
  <c r="H269" i="2"/>
  <c r="B269" i="2"/>
  <c r="H268" i="2"/>
  <c r="B268" i="2"/>
  <c r="H267" i="2"/>
  <c r="B267" i="2"/>
  <c r="H266" i="2"/>
  <c r="B266" i="2"/>
  <c r="H265" i="2"/>
  <c r="B265" i="2"/>
  <c r="H264" i="2"/>
  <c r="B264" i="2"/>
  <c r="H263" i="2"/>
  <c r="B263" i="2"/>
  <c r="H262" i="2"/>
  <c r="B262" i="2"/>
  <c r="H261" i="2"/>
  <c r="B261" i="2"/>
  <c r="H260" i="2"/>
  <c r="B260" i="2"/>
  <c r="H259" i="2"/>
  <c r="B259" i="2"/>
  <c r="H258" i="2"/>
  <c r="B258" i="2"/>
  <c r="H257" i="2"/>
  <c r="B257" i="2"/>
  <c r="H256" i="2"/>
  <c r="B256" i="2"/>
  <c r="H255" i="2"/>
  <c r="B255" i="2"/>
  <c r="H254" i="2"/>
  <c r="B254" i="2"/>
  <c r="H253" i="2"/>
  <c r="B253" i="2"/>
  <c r="H252" i="2"/>
  <c r="B252" i="2"/>
  <c r="H251" i="2"/>
  <c r="B251" i="2"/>
  <c r="H250" i="2"/>
  <c r="B250" i="2"/>
  <c r="H249" i="2"/>
  <c r="B249" i="2"/>
  <c r="H248" i="2"/>
  <c r="B248" i="2"/>
  <c r="H247" i="2"/>
  <c r="B247" i="2"/>
  <c r="H246" i="2"/>
  <c r="B246" i="2"/>
  <c r="H245" i="2"/>
  <c r="B245" i="2"/>
  <c r="H244" i="2"/>
  <c r="B244" i="2"/>
  <c r="H243" i="2"/>
  <c r="B243" i="2"/>
  <c r="H242" i="2"/>
  <c r="B242" i="2"/>
  <c r="H241" i="2"/>
  <c r="B241" i="2"/>
  <c r="H240" i="2"/>
  <c r="B240" i="2"/>
  <c r="H239" i="2"/>
  <c r="B239" i="2"/>
  <c r="H238" i="2"/>
  <c r="B238" i="2"/>
  <c r="H237" i="2"/>
  <c r="B237" i="2"/>
  <c r="H236" i="2"/>
  <c r="B236" i="2"/>
  <c r="H235" i="2"/>
  <c r="B235" i="2"/>
  <c r="H234" i="2"/>
  <c r="B234" i="2"/>
  <c r="H233" i="2"/>
  <c r="B233" i="2"/>
  <c r="H232" i="2"/>
  <c r="B232" i="2"/>
  <c r="H231" i="2"/>
  <c r="B231" i="2"/>
  <c r="H230" i="2"/>
  <c r="B230" i="2"/>
  <c r="H229" i="2"/>
  <c r="B229" i="2"/>
  <c r="H228" i="2"/>
  <c r="B228" i="2"/>
  <c r="H227" i="2"/>
  <c r="B227" i="2"/>
  <c r="H226" i="2"/>
  <c r="B226" i="2"/>
  <c r="H225" i="2"/>
  <c r="B225" i="2"/>
  <c r="H224" i="2"/>
  <c r="B224" i="2"/>
  <c r="H223" i="2"/>
  <c r="B223" i="2"/>
  <c r="H222" i="2"/>
  <c r="B222" i="2"/>
  <c r="H221" i="2"/>
  <c r="B221" i="2"/>
  <c r="H220" i="2"/>
  <c r="B220" i="2"/>
  <c r="H219" i="2"/>
  <c r="B219" i="2"/>
  <c r="H218" i="2"/>
  <c r="B218" i="2"/>
  <c r="H217" i="2"/>
  <c r="B217" i="2"/>
  <c r="H216" i="2"/>
  <c r="B216" i="2"/>
  <c r="H215" i="2"/>
  <c r="B215" i="2"/>
  <c r="H214" i="2"/>
  <c r="B214" i="2"/>
  <c r="H213" i="2"/>
  <c r="B213" i="2"/>
  <c r="H212" i="2"/>
  <c r="B212" i="2"/>
  <c r="H211" i="2"/>
  <c r="B211" i="2"/>
  <c r="H210" i="2"/>
  <c r="B210" i="2"/>
  <c r="H209" i="2"/>
  <c r="B209" i="2"/>
  <c r="H208" i="2"/>
  <c r="B208" i="2"/>
  <c r="H207" i="2"/>
  <c r="B207" i="2"/>
  <c r="H206" i="2"/>
  <c r="B206" i="2"/>
  <c r="H205" i="2"/>
  <c r="B205" i="2"/>
  <c r="H204" i="2"/>
  <c r="B204" i="2"/>
  <c r="H203" i="2"/>
  <c r="B203" i="2"/>
  <c r="H202" i="2"/>
  <c r="B202" i="2"/>
  <c r="H201" i="2"/>
  <c r="B201" i="2"/>
  <c r="H200" i="2"/>
  <c r="B200" i="2"/>
  <c r="H199" i="2"/>
  <c r="B199" i="2"/>
  <c r="H198" i="2"/>
  <c r="B198" i="2"/>
  <c r="H197" i="2"/>
  <c r="B197" i="2"/>
  <c r="H196" i="2"/>
  <c r="B196" i="2"/>
  <c r="H195" i="2"/>
  <c r="B195" i="2"/>
  <c r="H194" i="2"/>
  <c r="B194" i="2"/>
  <c r="H193" i="2"/>
  <c r="B193" i="2"/>
  <c r="H192" i="2"/>
  <c r="B192" i="2"/>
  <c r="H191" i="2"/>
  <c r="B191" i="2"/>
  <c r="H190" i="2"/>
  <c r="B190" i="2"/>
  <c r="H189" i="2"/>
  <c r="B189" i="2"/>
  <c r="H188" i="2"/>
  <c r="B188" i="2"/>
  <c r="H187" i="2"/>
  <c r="B187" i="2"/>
  <c r="H186" i="2"/>
  <c r="B186" i="2"/>
  <c r="H185" i="2"/>
  <c r="B185" i="2"/>
  <c r="H184" i="2"/>
  <c r="B184" i="2"/>
  <c r="H183" i="2"/>
  <c r="B183" i="2"/>
  <c r="H182" i="2"/>
  <c r="B182" i="2"/>
  <c r="H181" i="2"/>
  <c r="B181" i="2"/>
  <c r="H180" i="2"/>
  <c r="B180" i="2"/>
  <c r="H179" i="2"/>
  <c r="B179" i="2"/>
  <c r="H178" i="2"/>
  <c r="B178" i="2"/>
  <c r="H177" i="2"/>
  <c r="B177" i="2"/>
  <c r="H176" i="2"/>
  <c r="B176" i="2"/>
  <c r="H175" i="2"/>
  <c r="B175" i="2"/>
  <c r="H174" i="2"/>
  <c r="B174" i="2"/>
  <c r="H173" i="2"/>
  <c r="B173" i="2"/>
  <c r="H172" i="2"/>
  <c r="B172" i="2"/>
  <c r="H171" i="2"/>
  <c r="B171" i="2"/>
  <c r="H170" i="2"/>
  <c r="B170" i="2"/>
  <c r="H169" i="2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<sst xmlns="http://schemas.openxmlformats.org/spreadsheetml/2006/main" count="907" uniqueCount="527">
  <si>
    <t>Nom de Liste de Prix</t>
  </si>
  <si>
    <t>Code UPC</t>
  </si>
  <si>
    <t>Numéro de Produit</t>
  </si>
  <si>
    <t>Description de Produit</t>
  </si>
  <si>
    <t>Prix de Liste</t>
  </si>
  <si>
    <t>Date Effet</t>
  </si>
  <si>
    <t>Poids en Kgs</t>
  </si>
  <si>
    <t>Code Barre de Carton</t>
  </si>
  <si>
    <t>Qtée de Carton</t>
  </si>
  <si>
    <t>Qtée de Palette</t>
  </si>
  <si>
    <t>C10-11-FR-0224</t>
  </si>
  <si>
    <t>10TC314</t>
  </si>
  <si>
    <t>10TC314 PE 1 1/4" BOUCH FEM GLISSEMENT ORANGE CANPLAS</t>
  </si>
  <si>
    <t>10TC315</t>
  </si>
  <si>
    <t>10TC315 PE 1 1/2" BOUCH FEM GLISSEMENT ORANGE CANPLAS</t>
  </si>
  <si>
    <t>10TC316</t>
  </si>
  <si>
    <t>10TC316 PE 2" BOUCH FEM GLISSEMENT ORANGE CANPLAS</t>
  </si>
  <si>
    <t>10TC318</t>
  </si>
  <si>
    <t>10TC318 PE 3" BOUCH FEM GLISSEMENT ORANGE CANPLAS</t>
  </si>
  <si>
    <t>10TC320</t>
  </si>
  <si>
    <t>10TC320 PE 4" BOUCH FEM GLISSEMENT ORANGE CANPLAS</t>
  </si>
  <si>
    <t>10TC322</t>
  </si>
  <si>
    <t>10TC322 PE 6" BOUCH FEM GLISSEMENT ORANGE CANPLAS</t>
  </si>
  <si>
    <t>102107A</t>
  </si>
  <si>
    <t>102107A ABS DWV 4X3" TE NETT AVECBOUCHON FXFXFPT NOIR</t>
  </si>
  <si>
    <t>102114A</t>
  </si>
  <si>
    <t>102114A ABS DWV 1 1/2" TE NETT AVEC BOUCHON FXFXFPT NOIR</t>
  </si>
  <si>
    <t>102115A</t>
  </si>
  <si>
    <t>102115A ABS DWV 2" TE NETT AVEC BOUCHON FXFXFPT NOIR</t>
  </si>
  <si>
    <t>102116A</t>
  </si>
  <si>
    <t>102116A ABS DWV 3" TE NETT AVEC BOUCHON FXFXFPT NOIR</t>
  </si>
  <si>
    <t>102117A</t>
  </si>
  <si>
    <t>102117A ABS DWV 4" TE NETT AVEC BOUCHON FXFXFPT NOIR</t>
  </si>
  <si>
    <t>102118A</t>
  </si>
  <si>
    <t>102118A ABS DWV 6" TE NETT AVEC BOUCHON FXFXFPT NOIR</t>
  </si>
  <si>
    <t>102126 ABS DWV 2X2X1 1/2" T SAN FXFXF NOIR CANPLAS</t>
  </si>
  <si>
    <t>102127 ABS DWV 2X1 1/2X2" T SAN FXFXF NOIR CANPLAS</t>
  </si>
  <si>
    <t>102128 ABS DWV 2X1 1/2X1 1/2" T SAN FXFXF NOIR CANPLAS</t>
  </si>
  <si>
    <t>102130 ABS DWV 3X3X2" T SAN FXFXF NOIR CANPLAS</t>
  </si>
  <si>
    <t>102131 ABS DWV 3X3X1 1/2" T SAN FXFXF NOIR CANPLAS</t>
  </si>
  <si>
    <t>102132 ABS DWV 1 1/2X1 1/2X1 1/4" T SAN AVEC DOUILLE 1</t>
  </si>
  <si>
    <t>102133BC</t>
  </si>
  <si>
    <t>102133BC ABS DWV 2X2X1 1/4" T SAN FXFXF NOIR CANPLAS</t>
  </si>
  <si>
    <t>102134 ABS DWV 4X4X2" T SAN FXFXF NOIR CANPLAS</t>
  </si>
  <si>
    <t>102136 ABS DWV 4X4X3" T SAN FXFXF NOIR CANPLAS</t>
  </si>
  <si>
    <t>102144 ABS DWV 6X6X4" T SAN FXFXF NOIR CANPLAS</t>
  </si>
  <si>
    <t>102147L</t>
  </si>
  <si>
    <t>102147L ABS DWV 3X3X3X1 1/2" T SAN ENTREE A GAUCHE</t>
  </si>
  <si>
    <t>102147R</t>
  </si>
  <si>
    <t>102147R ABS DWV 3X3X3X1 1/2" T SAN ENTREE A DROITE</t>
  </si>
  <si>
    <t>102148L</t>
  </si>
  <si>
    <t>102148L ABS DWV 3X3X3X2" T SAN ENTREE A GAUCHE FXFXFXF</t>
  </si>
  <si>
    <t>102148LRBC</t>
  </si>
  <si>
    <t>102148LRBC ABS DWV 3X3X3X2" T SAN ENTREE A DROITE ET GAUCHE</t>
  </si>
  <si>
    <t>102148R</t>
  </si>
  <si>
    <t>102148R ABS DWV 3X3X3X2" T SAN ENTREE A DROITE FXFXFXF</t>
  </si>
  <si>
    <t>102150 ABS DWV 1 1/4" T SAN FXFXF NOIR CANPLAS</t>
  </si>
  <si>
    <t>102151 ABS DWV 1 1/2" T SAN FXFXF NOIR CANPLAS</t>
  </si>
  <si>
    <t>102152 ABS DWV 2" T SAN FXFXF NOIR CANPLAS</t>
  </si>
  <si>
    <t>102153 ABS DWV 3" T SAN FXFXF NOIR CANPLAS</t>
  </si>
  <si>
    <t>102154 ABS DWV 4" T SAN FXFXF NOIR CANPLAS</t>
  </si>
  <si>
    <t>102156 ABS DWV 6" T SAN FXFXF NOIR CANPLAS</t>
  </si>
  <si>
    <t>102181 ABS DWV 3X3X2X2" TE SAN DBL FXFXFXF NOIR CANPLAS</t>
  </si>
  <si>
    <t>102184 ABS DWV 3" TE SAN DBL FXFXFXF NOIR CANPLAS</t>
  </si>
  <si>
    <t>102185 ABS DWV 4" TE SAN DBL FXFXFXF NOIR CANPLAS</t>
  </si>
  <si>
    <t>102186 ABS DWV 2" TE SAN DBL FXFXFXF NOIR CANPLAS</t>
  </si>
  <si>
    <t>102187 ABS DWV 1 1/2" TE SAN DBLFXFXFXF NOIR CANPLAS</t>
  </si>
  <si>
    <t>102188 ABS DWV 2X2X1 1/2X1 1/2" TE SAN DBL FXFXFXF NOIR</t>
  </si>
  <si>
    <t>102189 ABS DWV 3X3X1 1/2X1 1/2" TE SAN DBL FXFXFXF NOIR</t>
  </si>
  <si>
    <t>102191 ABS DWV 4X4X3X3" TE SAN DBL FXFXFXF NOIR CANPLAS</t>
  </si>
  <si>
    <t>102201 ABS DWV 1 1/2" 90D COUDE D'EVENT FXF NOIR CANPLAS</t>
  </si>
  <si>
    <t>102204 ABS DWV 4" 90D COUDE D'EVENT FXF NOIR CANPLAS</t>
  </si>
  <si>
    <t>102221 ABS DWV 2X1 1/2" 90D COUDE PETIT FXM NOIR</t>
  </si>
  <si>
    <t>102223 ABS DWV 4X3" 90D COUDE DECABINET RED FXF NOIR</t>
  </si>
  <si>
    <t>102250 ABS DWV 1 1/4" 90D COUDE PETIT FXF NOIR CANPLAS</t>
  </si>
  <si>
    <t>102251 ABS DWV 1 1/2" 90D COUDE PETIT FXF NOIR CANPLAS</t>
  </si>
  <si>
    <t>102251L</t>
  </si>
  <si>
    <t>102251L ABS DWV 1 1/2" 90D COUDE FXF NOIR CANPLAS</t>
  </si>
  <si>
    <t>102252 ABS DWV 2" 90D COUDE PETIT FXF NOIR CANPLAS</t>
  </si>
  <si>
    <t>102252L</t>
  </si>
  <si>
    <t>102252L ABS DWV 2" 90D COUDE FXF NOIR CANPLAS</t>
  </si>
  <si>
    <t>102253 ABS DWV 3" 90D COUDE PETIT FXF NOIR CANPLAS</t>
  </si>
  <si>
    <t>102253L</t>
  </si>
  <si>
    <t>102253L ABS DWV 3" 90D COUDE FXF NOIR CANPLAS</t>
  </si>
  <si>
    <t>102254 ABS DWV 4" 90D COUDE PETIT FXF NOIR CANPLAS</t>
  </si>
  <si>
    <t>102254L</t>
  </si>
  <si>
    <t>102254L ABS DWV 4" 90D COUDE FXF NOIR CANPLAS</t>
  </si>
  <si>
    <t>102256 ABS DWV 6" 90D COUDE PETIT FXF NOIR CANPLAS</t>
  </si>
  <si>
    <t>103211-11BC</t>
  </si>
  <si>
    <t>103211-11BC ABS DWV 1 1/2X1 1/4" ADPTPOUR SIPHON MANCHONXMPT</t>
  </si>
  <si>
    <t>102261 ABS DWV 1 1/2" 90D COUDE DOUBLE FXFXF NOIR CANPLAS</t>
  </si>
  <si>
    <t>102262 ABS DWV 2" 90D COUDE DOUBLE FXFXF NOIR CANPLAS</t>
  </si>
  <si>
    <t>102263 ABS DWV 3" 90D COUDE DOUBLE FXFXF NOIR CANPLAS</t>
  </si>
  <si>
    <t>102276 ABS DWV 1 1/2" 90D COUDE RAYON FXF NOIR CANPLAS</t>
  </si>
  <si>
    <t>102277 ABS DWV 2" 90D COUDE RAYON FXF NOIR CANPLAS</t>
  </si>
  <si>
    <t>102278 ABS DWV 3" 90D COUDE RAYON FXF NOIR CANPLAS</t>
  </si>
  <si>
    <t>102279 ABS DWV 4" 90D COUDE RAYON FXF NOIR CANPLAS</t>
  </si>
  <si>
    <t>102300 ABS DWV 1 1/4" RACC Y FXFXF NOIR CANPLAS</t>
  </si>
  <si>
    <t>102301 ABS DWV 1 1/2" RACC Y FXFXF NOIR CANPLAS</t>
  </si>
  <si>
    <t>102302 ABS DWV 2" RACC Y FXFXF NOIR CANPLAS</t>
  </si>
  <si>
    <t>102303 ABS DWV 3" RACC Y FXFXF NOIR CANPLAS</t>
  </si>
  <si>
    <t>102304 ABS DWV 4" RACC Y FXFXF NOIR CANPLAS</t>
  </si>
  <si>
    <t>102306 ABS DWV 6" RACC Y FXFXF NOIR CANPLAS</t>
  </si>
  <si>
    <t>102323 ABS DWV 1 1/2X1 1/2X1 1/4" RACC Y FXFXF NOIR</t>
  </si>
  <si>
    <t>102324 ABS DWV 2X1 1/2X1 1/2" RACC Y FXFXF NOIR CANPLAS</t>
  </si>
  <si>
    <t>102325 ABS DWV 2X2X1 1/2" RACC YFXFXF NOIR CANPLAS</t>
  </si>
  <si>
    <t>102326 ABS DWV 3X3X2" RACC Y FXFXF NOIR CANPLAS</t>
  </si>
  <si>
    <t>102327 ABS DWV 4X4X3" RACC Y FXFXF NOIR CANPLAS</t>
  </si>
  <si>
    <t>102328 ABS DWV 4X4X2" RACC Y FXFXF NOIR CANPLAS</t>
  </si>
  <si>
    <t>102329 ABS DWV 4X4X1 1/2" RACC YFXFXF NOIR CANPLAS</t>
  </si>
  <si>
    <t>102331 ABS DWV 3X3X1 1/2" RACC YFXFXF NOIR CANPLAS</t>
  </si>
  <si>
    <t>102343 ABS DWV 6X6X3" RACC Y FXFXF NOIR CANPLAS</t>
  </si>
  <si>
    <t>102344 ABS DWV 6X6X4" RACC Y FXFXF NOIR CANPLAS</t>
  </si>
  <si>
    <t>102351 ABS DWV 1 1/2" DOUBLE Y FXFXFXF NOIR CANPLAS</t>
  </si>
  <si>
    <t>102352 ABS DWV 2" DOUBLE Y FXFXFXF NOIR CANPLAS</t>
  </si>
  <si>
    <t>102353 ABS DWV 3" DOUBLE Y FXFXFXF NOIR CANPLAS</t>
  </si>
  <si>
    <t>102354 ABS DWV 4" DOUBLE Y FXFXFXF NOIR CANPLAS</t>
  </si>
  <si>
    <t>102374 ABS DWV 2X2X1 1/2X1 1/2" DOUBLE Y FXFXFXF NOIR</t>
  </si>
  <si>
    <t>102376 ABS DWV 3X3X1 1/2X1 1/2" DOUBLE Y FXFXFXF NOIR</t>
  </si>
  <si>
    <t>102377 ABS DWV 3X3X2X2" DOUBLE YFXFXFXF NOIR CANPLAS</t>
  </si>
  <si>
    <t>102380 ABS DWV 4X4X2X2" DOUBLE YFXFXFXF NOIR CANPLAS</t>
  </si>
  <si>
    <t>102381 ABS DWV 4X4X3X3" DOUBLE YFXFXFXF NOIR CANPLAS</t>
  </si>
  <si>
    <t>102401 ABS DWV 1 1/2" 45D COUDE RACC MXF NOIR CANPLAS</t>
  </si>
  <si>
    <t>102402 ABS DWV 2" 45D COUDE RACCMXF NOIR CANPLAS</t>
  </si>
  <si>
    <t>102403 ABS DWV 3" 45D COUDE RACCMXF NOIR CANPLAS</t>
  </si>
  <si>
    <t>102404 ABS DWV 4" 45D COUDE RACCMXF NOIR CANPLAS</t>
  </si>
  <si>
    <t>102406 ABS DWV 6" 45D COUDE RACCMXF NOIR CANPLAS</t>
  </si>
  <si>
    <t>102420 ABS DWV 1 1/4" 45D COUDE RACC PETIT MXF NOIR</t>
  </si>
  <si>
    <t>102421 ABS DWV 1 1/2" 45D COUDE RACC PETIT MXF NOIR</t>
  </si>
  <si>
    <t>102422 ABS DWV 2" 45D COUDE RACCPETIT MXF NOIR CANPLAS</t>
  </si>
  <si>
    <t>102423 ABS DWV 3" 45D COUDE RACCPETIT MXF NOIR CANPLAS</t>
  </si>
  <si>
    <t>102424 ABS DWV 4" 45D COUDE RACCPETIT MXF NOIR CANPLAS</t>
  </si>
  <si>
    <t>102450 ABS DWV 1 1/4" 90D COUDE RACC PETIT MXF NOIR</t>
  </si>
  <si>
    <t>102451 ABS DWV 1 1/2" 90D COUDE RACC PETIT MXF NOIR</t>
  </si>
  <si>
    <t>102451L</t>
  </si>
  <si>
    <t>102451L ABS DWV 1 1/2" 90D COUDE RACC MXF NOIR CANPLAS</t>
  </si>
  <si>
    <t>102452 ABS DWV 2" 90D COUDE RACCPETIT MXF NOIR CANPLAS</t>
  </si>
  <si>
    <t>102452L</t>
  </si>
  <si>
    <t>102452L ABS DWV 2" 90D COUDE RACCMXF NOIR CANPLAS</t>
  </si>
  <si>
    <t>102453 ABS DWV 3" 90D COUDE RACCPETIT MXF NOIR CANPLAS</t>
  </si>
  <si>
    <t>102453L</t>
  </si>
  <si>
    <t>102453L ABS DWV 3" 90D COUDE RACCMXF NOIR CANPLAS</t>
  </si>
  <si>
    <t>102454 ABS DWV 4" 90D COUDE RACCPETIT MXF NOIR CANPLAS</t>
  </si>
  <si>
    <t>102454L</t>
  </si>
  <si>
    <t>102454L ABS DWV 4" 90D COUDE RACCMXF NOIR CANPLAS</t>
  </si>
  <si>
    <t>102456 ABS DWV 6" 90D COUDE RACCPETIT MXF NOIR CANPLAS</t>
  </si>
  <si>
    <t>102501 ABS DWV 1 1/2" 45D COUDE FXF NOIR CANPLAS</t>
  </si>
  <si>
    <t>102502 ABS DWV 2" 45D COUDE FXF NOIR CANPLAS</t>
  </si>
  <si>
    <t>102503 ABS DWV 3" 45D COUDE FXF NOIR CANPLAS</t>
  </si>
  <si>
    <t>102504 ABS DWV 4" 45D COUDE FXF NOIR CANPLAS</t>
  </si>
  <si>
    <t>102506 ABS DWV 6" 45D COUDE PETIT FXF NOIR CANPLAS</t>
  </si>
  <si>
    <t>102520 ABS DWV 1 1/4" 45D COUDE PETIT FXF NOIR CANPLAS</t>
  </si>
  <si>
    <t>102521 ABS DWV 1 1/2" 45D COUDE PETIT FXF NOIR CANPLAS</t>
  </si>
  <si>
    <t>102522 ABS DWV 2" 45D COUDE PETIT FXF NOIR CANPLAS</t>
  </si>
  <si>
    <t>102523 ABS DWV 3" 45D COUDE PETIT FXF NOIR CANPLAS</t>
  </si>
  <si>
    <t>102524 ABS DWV 4" 45D COUDE PETIT FXF NOIR CANPLAS</t>
  </si>
  <si>
    <t>102550 ABS DWV 1 1/4" 22.5D COUDE PETIT FXF NOIR</t>
  </si>
  <si>
    <t>102551 ABS DWV 1 1/2" 22.5D COUDE PETIT FXF NOIR</t>
  </si>
  <si>
    <t>102552 ABS DWV 2" 22.5D COUDE PETIT FXF NOIR CANPLAS</t>
  </si>
  <si>
    <t>102553 ABS DWV 3" 22.5D COUDE PETIT FXF NOIR CANPLAS</t>
  </si>
  <si>
    <t>102554 ABS DWV 4" 22.5D COUDE PETIT FXF NOIR CANPLAS</t>
  </si>
  <si>
    <t>102556 ABS DWV 6" 22.5D COUDE PETIT FXF NOIR CANPLAS</t>
  </si>
  <si>
    <t>102561 ABS DWV 1 1/2" 22.5D COUDE RACC PETIT MXF NOIR</t>
  </si>
  <si>
    <t>102562 ABS DWV 2" 22.5D COUDE RACC PETIT MXF NOIR</t>
  </si>
  <si>
    <t>102563 ABS DWV 3" 22.5D COUDE RACC PETIT MXF NOIR</t>
  </si>
  <si>
    <t>102564 ABS DWV 4" 22.5D COUDE RACC PETIT MXF NOIR</t>
  </si>
  <si>
    <t>102601 ABS DWV 1 1/2" 60D COUDE PETIT FXF NOIR CANPLAS</t>
  </si>
  <si>
    <t>102602 ABS DWV 2" 60D COUDE PETIT FXF NOIR CANPLAS</t>
  </si>
  <si>
    <t>102602L</t>
  </si>
  <si>
    <t>102602L ABS DWV 2" 60D COUDE FXF NOIR CANPLAS</t>
  </si>
  <si>
    <t>102603 ABS DWV 3" 60D COUDE PETIT FXF NOIR CANPLAS</t>
  </si>
  <si>
    <t>102603L</t>
  </si>
  <si>
    <t>102603L ABS DWV 3" 60D COUDE FXF NOIR CANPLAS</t>
  </si>
  <si>
    <t>102604 ABS DWV 4" 60D COUDE PETIT FXF NOIR CANPLAS</t>
  </si>
  <si>
    <t>102747 ABS DWV 1 1/2X1/2" DOUILLE ENCASTRE MXFPT</t>
  </si>
  <si>
    <t>102749 ABS DWV 1 1/2X3/4" DOUILLE ENCASTRE MXFPT</t>
  </si>
  <si>
    <t>102750 ABS DWV 1 1/2X1 1/4" DOUILLE RED ENCASTRE MXF</t>
  </si>
  <si>
    <t>102751 ABS DWV 1 1/2X1 1/4" DOUILLE ENCASTRE MXFPT</t>
  </si>
  <si>
    <t>102752 ABS DWV 2X1 1/2" DOUILLE RED ENCASTRE MXF NOIR</t>
  </si>
  <si>
    <t>102753 ABS DWV 2X1 1/2" DOUILLE ENCASTRE MXFPT NOIR</t>
  </si>
  <si>
    <t>102754 ABS DWV 3X2" DOUILLE RED ENCASTRE MXF NOIR CANPLAS</t>
  </si>
  <si>
    <t>102756 ABS DWV 4X3" DOUILLE ENCASTRE MXF NOIR CANPLAS</t>
  </si>
  <si>
    <t>102758 ABS DWV 4X2" DOUILLE ENCASTRE MXF NOIR CANPLAS</t>
  </si>
  <si>
    <t>102759 ABS DWV 4X1 1/2" DOUILLE RED ENCASTRE MXF NOIR</t>
  </si>
  <si>
    <t>102760 ABS DWV 2X1 1/4" DOUILLE RED ENCASTRE MXF NOIR</t>
  </si>
  <si>
    <t>102762 ABS DWV 3X1 1/2" DOUILLE RED ENCASTRE MXF NOIR</t>
  </si>
  <si>
    <t>102764 ABS DWV 4X3" DOUILLE DE RACCORDEMENT ENCASTRE MXF</t>
  </si>
  <si>
    <t>102767 ABS DWV 6X4" DOUILLE RED ENCASTRE MXF NOIR CANPLAS</t>
  </si>
  <si>
    <t>102800 ABS DWV 1 1/4" ADPT POUR SIPHON MANCHONXMPT NOIR</t>
  </si>
  <si>
    <t>102800A</t>
  </si>
  <si>
    <t>102800A ABS DWV 1 1/4" ADPT POUR SIPHON AVEC RONDELLE ET</t>
  </si>
  <si>
    <t>102801 ABS DWV 1 1/2" ADPT POUR SIPHON MANCHONXMPT NOIR</t>
  </si>
  <si>
    <t>102801A</t>
  </si>
  <si>
    <t>102801A ABS DWV 1 1/2" ADPT POUR SIPHON AVEC RONDELLE ET</t>
  </si>
  <si>
    <t>102802 ABS DWV 2" ADPT POUR SIPHON MANCHONXMPT NOIR</t>
  </si>
  <si>
    <t>102802A</t>
  </si>
  <si>
    <t>102802A ABS DWV 2" ADPT POUR SIPHON AVEC RONDELLE ET</t>
  </si>
  <si>
    <t>102804A</t>
  </si>
  <si>
    <t>102804A ABS DWV 1 1/2" ADPT POUR SIPHON AVEC ECROU 1PC</t>
  </si>
  <si>
    <t>102805A</t>
  </si>
  <si>
    <t>102805A ABS DWV FTG TRP ADT 1 PC 1 1/4</t>
  </si>
  <si>
    <t>102806A</t>
  </si>
  <si>
    <t>102806A ABS DWV 1 1/4X1 1/2" ADPTPOUR SIPHON AVEC ECROU</t>
  </si>
  <si>
    <t>102840 ABS DWV 2" DOUILLE DE RACCORDEMENT ENCASTRE MXF</t>
  </si>
  <si>
    <t>102841 ABS DWV 3" DOUILLE DE RACCORDEMENT ENCASTRE MXF</t>
  </si>
  <si>
    <t>102842 ABS DWV 4" DOUILLE DE RACCORDEMENT ENCASTRE MXF</t>
  </si>
  <si>
    <t>102846 ABS DWV 6" DOUILLE DE RACCORDEMENT ENCASTRE MXF</t>
  </si>
  <si>
    <t>102850A</t>
  </si>
  <si>
    <t>102850A ABS DWV 1 1/4" ADPT POUR SIPHON AVEC RONDELLE ET</t>
  </si>
  <si>
    <t>102851A</t>
  </si>
  <si>
    <t>102851A ABS DWV 1 1/2" ADPT POUR SIPHON AVEC RONDELLE ET</t>
  </si>
  <si>
    <t>102852A</t>
  </si>
  <si>
    <t>102852A ABS DWV 2" ADPT POUR SIPHON AVEC RONDELLE ET</t>
  </si>
  <si>
    <t>102853A</t>
  </si>
  <si>
    <t>102853A ABS DWV 1 1/2" ADPT POUR SIPHON AVEC ECROU 1PC</t>
  </si>
  <si>
    <t>102855A</t>
  </si>
  <si>
    <t>102855A ABS DWV 1 1/4X1 1/2" ADPTPOUR SIPHON AVEC ECROU</t>
  </si>
  <si>
    <t>102859A</t>
  </si>
  <si>
    <t>102859A ABS DWV 1 1/2X1 1/4" ADPTPOUR SIPHON 2-EN-1 FXJT</t>
  </si>
  <si>
    <t>102860 ABS DWV 1 1/2X1 1/4" ADPTMALE MPTXF NOIR CANPLAS</t>
  </si>
  <si>
    <t>102860A</t>
  </si>
  <si>
    <t>102860A ABS DWV 1 1/2X1 1/4" ADPTPOUR SIPHON AVEC RONDELLE</t>
  </si>
  <si>
    <t>102861A</t>
  </si>
  <si>
    <t>102861A ABS DWV 1 1/2" ADPT DE TUY AVEC RONDELLE ET</t>
  </si>
  <si>
    <t>102862A</t>
  </si>
  <si>
    <t>102862A ABS DWV 1 1/4" ADPT DE TUY AVEC RONDELLE ET</t>
  </si>
  <si>
    <t>102864A</t>
  </si>
  <si>
    <t>102864A ABS DWV 1 1/2X1 1/4" ADPTDE TUY AVEC JT ENTANCHE</t>
  </si>
  <si>
    <t>102865A</t>
  </si>
  <si>
    <t>102865A ABS DWV 2" ADPT DE TUY AVEC JT ENTANCHE ET ECROU</t>
  </si>
  <si>
    <t>102863A</t>
  </si>
  <si>
    <t>102863A ABS DWV 1 1/2" UNION AV JT ETANCHE FXF NOIR</t>
  </si>
  <si>
    <t>102870 ABS DWV 1 1/4" ADPT MALE MPTXF NOIR CANPLAS</t>
  </si>
  <si>
    <t>102871 ABS DWV 1 1/2" ADPT MALE MPTXF NOIR CANPLAS</t>
  </si>
  <si>
    <t>102872 ABS DWV 2" ADPT MALE MPTXF NOIR CANPLAS</t>
  </si>
  <si>
    <t>102873 ABS DWV 3" ADPT MALE MPTXF NOIR CANPLAS</t>
  </si>
  <si>
    <t>102874 ABS DWV 4" ADPT MALE MPTXF NOIR CANPLAS</t>
  </si>
  <si>
    <t>102876 ABS DWV 6" ADPT MALE MPTXF NOIR CANPLAS</t>
  </si>
  <si>
    <t>102890 ABS DWV 1 1/4" ADPT FEM FPTXF NOIR CANPLAS</t>
  </si>
  <si>
    <t>102891 ABS DWV 1 1/2" ADPT FEM FPTXF NOIR CANPLAS</t>
  </si>
  <si>
    <t>102891A</t>
  </si>
  <si>
    <t>102891A ABS DWV 1 1/2" ADPT FEM AVEC BOUCHON ET JT</t>
  </si>
  <si>
    <t>102892 ABS DWV 2" ADPT FEM FPTXFNOIR CANPLAS</t>
  </si>
  <si>
    <t>102892ABC</t>
  </si>
  <si>
    <t>102892ABC ABS DWV 2" ADPT FEM AVEC BOUCHON ET JT TORIQUE</t>
  </si>
  <si>
    <t>102893 ABS DWV 3" ADPT FEM FPTXFNOIR CANPLAS</t>
  </si>
  <si>
    <t>102893A</t>
  </si>
  <si>
    <t>102893A ABS DWV 3" ADPT FEM AVEC BOUCHON ET JT TORIQUE</t>
  </si>
  <si>
    <t>102894 ABS DWV 4" ADPT FEM FPTXFNOIR CANPLAS</t>
  </si>
  <si>
    <t>102894A</t>
  </si>
  <si>
    <t>102894A ABS DWV 4" ADPT FEM AVEC BOUCHON ET JT TORIQUE</t>
  </si>
  <si>
    <t>102896 ABS DWV 6" ADPT FEM FPTXFNOIR CANPLAS</t>
  </si>
  <si>
    <t>103000 ABS DWV 1 1/4" MANCHON FXF NOIR CANPLAS</t>
  </si>
  <si>
    <t>103001 ABS DWV 1 1/2" MANCHON FXF NOIR CANPLAS</t>
  </si>
  <si>
    <t>103001R</t>
  </si>
  <si>
    <t>103001R ABS DWV 1 1/2" RACC DE REPARATION SANS BUTEE DE</t>
  </si>
  <si>
    <t>103002 ABS DWV 2" MANCHON FXF NOIR CANPLAS</t>
  </si>
  <si>
    <t>103002R</t>
  </si>
  <si>
    <t>103002R ABS DWV 2" RACC DE REPARATION SANS BUTEE DE</t>
  </si>
  <si>
    <t>103003 ABS DWV 3" MANCHON FXF NOIR CANPLAS</t>
  </si>
  <si>
    <t>103003R</t>
  </si>
  <si>
    <t>103003R ABS DWV 3" RACC DE REPARATION SANS BUTEE DE</t>
  </si>
  <si>
    <t>103004 ABS DWV 4" MANCHON FXF NOIR CANPLAS</t>
  </si>
  <si>
    <t>103004R</t>
  </si>
  <si>
    <t>103004R ABS DWV 4" RACC DE REPARATION SANS BUTEE DE</t>
  </si>
  <si>
    <t>103006 ABS DWV 6" MANCHON FXF NOIR CANPLAS</t>
  </si>
  <si>
    <t>103020 ABS DWV 1 1/2X1 1/4" MANCHON RED FXF NOIR</t>
  </si>
  <si>
    <t>103021 ABS DWV 2X1 1/4" MANCHON RED FXF NOIR CANPLAS</t>
  </si>
  <si>
    <t>103022 ABS DWV 2X1 1/2" MANCHON RED FXF NOIR CANPLAS</t>
  </si>
  <si>
    <t>103023 ABS DWV 3X1 1/2" MANCHON RED FXF NOIR CANPLAS</t>
  </si>
  <si>
    <t>103024 ABS DWV 3X2" MANCHON RED FXF NOIR CANPLAS</t>
  </si>
  <si>
    <t>103025 ABS DWV 4X2" MANCHON RED FXF NOIR CANPLAS</t>
  </si>
  <si>
    <t>103026 ABS DWV 4X3" MANCHON RED FXF NOIR CANPLAS</t>
  </si>
  <si>
    <t>103029 ABS DWV 4X1 1/2" MANCHON RED FXF NOIR CANPLAS</t>
  </si>
  <si>
    <t>103030 ABS DWV 1-1/4X3" REDUCTEUR MXM</t>
  </si>
  <si>
    <t>103036 ABS DWV 4X3" ADPT FXF NOIR CANPLAS</t>
  </si>
  <si>
    <t>103037 ABS DWV 6X4" MANCHON RED FXF NOIR CANPLAS</t>
  </si>
  <si>
    <t>103046ABC</t>
  </si>
  <si>
    <t>103046ABC ABS DWV 1 1/2 -2" BOUCH DE NETT AV JT ETANCHE FPT</t>
  </si>
  <si>
    <t>103047 ABS DWV PLUG-FOR 3251A</t>
  </si>
  <si>
    <t>103050 ABS DWV 1 1/4" BOUCH MALEPOUR ADPT REG NETT AVEC</t>
  </si>
  <si>
    <t>103051 ABS DWV 1 1/2" BOUCH MALEPOUR ADPT REG NETT AVEC</t>
  </si>
  <si>
    <t>103052 ABS DWV 2" BOUCH MALE POUR ADPT REG NETT AVEC</t>
  </si>
  <si>
    <t>103053 ABS DWV 3" BOUCH MALE POUR ADPT REG NETT AVEC</t>
  </si>
  <si>
    <t>103054 ABS DWV 4" BOUCH MALE POUR ADPT REG NETT AVEC</t>
  </si>
  <si>
    <t>103057BC</t>
  </si>
  <si>
    <t>103057BC ABS DWV 6" BOUCH MALE POUR ADPT REG NETT AVEC</t>
  </si>
  <si>
    <t>103044 ABS DWV 1 1/2 -2" BOUCH DE NETT SANS JOINT FPT</t>
  </si>
  <si>
    <t>103062 ABS DWV 2" BOUCH FRAISE MPT NOIR CANPLAS</t>
  </si>
  <si>
    <t>103063 ABS DWV 3" BOUCH FRAISE MPT NOIR CANPLAS</t>
  </si>
  <si>
    <t>103064 ABS DWV 4" BOUCH FRAISE MPT NOIR CANPLAS</t>
  </si>
  <si>
    <t>103066 ABS DWV 6" BOUCH FRAISE MPT NOIR CANPLAS</t>
  </si>
  <si>
    <t>103080 ABS DWV 1 1/4" BOUCH FEM F NOIR CANPLAS</t>
  </si>
  <si>
    <t>103081 ABS DWV 1 1/2" BOUCH FEM F NOIR CANPLAS</t>
  </si>
  <si>
    <t>103082 ABS DWV 2" BOUCH FEM F NOIR CANPLAS</t>
  </si>
  <si>
    <t>103083 ABS DWV 3" BOUCH FEM F NOIR CANPLAS</t>
  </si>
  <si>
    <t>103084 ABS DWV 4" BOUCH FEM F NOIR CANPLAS</t>
  </si>
  <si>
    <t>103086 ABS DWV 6" BOUCH FEM F NOIR CANPLAS</t>
  </si>
  <si>
    <t>103103 ABS DWV 4X3" 90D COUDE DECABINET RED AVEC DISQUE</t>
  </si>
  <si>
    <t>103200 ABS DWV 1 1/4" SIPHON P FXF NOIR CANPLAS</t>
  </si>
  <si>
    <t>103200A</t>
  </si>
  <si>
    <t>103200A ABS DWV 1 1/4" SIPHON-P SOUDE PAR SOLVANT AVEC</t>
  </si>
  <si>
    <t>103201 ABS DWV 1 1/2" SIPHON-P SOUDE PAR SOLVANT FXF</t>
  </si>
  <si>
    <t>103201A</t>
  </si>
  <si>
    <t>103201A ABS DWV 1 1/2" SIPHON-P SOUDE PAR SOLVANT AVEC</t>
  </si>
  <si>
    <t>103202 ABS DWV 2" SIPHON-P SOUDEPAR SOLVANT FXF NOIR</t>
  </si>
  <si>
    <t>103202-1</t>
  </si>
  <si>
    <t>103202-1 ABS DWV 2" COUDE 180D FXFNOIR CANPLAS</t>
  </si>
  <si>
    <t>103202A</t>
  </si>
  <si>
    <t>103202A ABS DWV 2" SIPHON-P SOUDEPAR SOLVANT AVEC NETT ET</t>
  </si>
  <si>
    <t>103203 ABS DWV 3" SIPHON-P SOUDEPAR SOLVANT FXF NOIR</t>
  </si>
  <si>
    <t>103203-1</t>
  </si>
  <si>
    <t>103203-1 ABS DWV 3" COUDE 180D FXFNOIR CANPLAS</t>
  </si>
  <si>
    <t>103204 ABS DWV 4" SIPHON-P SOUDEPAR SOLVANT FXF NOIR</t>
  </si>
  <si>
    <t>103204-1</t>
  </si>
  <si>
    <t>103204-1 ABS DWV 4" COUDE 180D FXFNOIR CANPLAS</t>
  </si>
  <si>
    <t>103206-1</t>
  </si>
  <si>
    <t>103206-1 ABS DWV 6" COUDE 180D FXFNOIR CANPLAS</t>
  </si>
  <si>
    <t>103210A</t>
  </si>
  <si>
    <t>103210A ABS DWV 1 1/4" SIPHON P UNION SOUPLE AVEC NETT ET</t>
  </si>
  <si>
    <t>103210E</t>
  </si>
  <si>
    <t>103210E ABS DWV 1 1/4" SIPHON P UNION SOUPLE FXF NOIR</t>
  </si>
  <si>
    <t>103211-7</t>
  </si>
  <si>
    <t>103211-7 ABS DWV 1 1/2" ADAPT DE BOUCH DE PLATEAU MXFPT</t>
  </si>
  <si>
    <t>103211-9</t>
  </si>
  <si>
    <t>103211-9 ABS DWV 1 1/2" ADAPT DE BOUCH DE PLATEAU FXFPT</t>
  </si>
  <si>
    <t>103211A</t>
  </si>
  <si>
    <t>103211A ABS DWV 1 1/2" SIPHON P UNION SOUPLE AVEC NETT ET</t>
  </si>
  <si>
    <t>103211E</t>
  </si>
  <si>
    <t>103211E ABS DWV 1 1/2" SIPHON P UNION SOUPLE FXF NOIR</t>
  </si>
  <si>
    <t>103211Y</t>
  </si>
  <si>
    <t>103211Y ABS DWV 1 1/2X1 1/4" ADPTPOUR SIPHON MANCHONXJT</t>
  </si>
  <si>
    <t>103212A</t>
  </si>
  <si>
    <t>103212A ABS DWV 2" SIPHON P UNIONSOUPLE AVEC NETT ET</t>
  </si>
  <si>
    <t>103212E</t>
  </si>
  <si>
    <t>103212E ABS DWV 2" SIPHON P UNIONSOUPLE FXF NOIR CANPLAS</t>
  </si>
  <si>
    <t>103215 ABS DWV 1 1/2" ADAPT DE BOUCH DE PLATEAU AV JT</t>
  </si>
  <si>
    <t>103216 ABS DWV 1 1/2" ADAPT DE BOUCH DE PLATEAU AVEC JT</t>
  </si>
  <si>
    <t>103217 ABS DWV 1 1/2" ADAPT DE BOUCH DE PLATEAU AV JT</t>
  </si>
  <si>
    <t>103231-6</t>
  </si>
  <si>
    <t>103231-6 ABS 1 1/2" PERMOSEAL WASHER</t>
  </si>
  <si>
    <t>103231A</t>
  </si>
  <si>
    <t>103231A ABS DWV 1 1/2" SIPHON P UNION SOUPLE AVEC NETT ET</t>
  </si>
  <si>
    <t>103231E</t>
  </si>
  <si>
    <t>103231E ABS DWV 1 1/2" SIPHON P UNION SOUPLE PERMOSEAL</t>
  </si>
  <si>
    <t>103234BC</t>
  </si>
  <si>
    <t>103234BC ABS DWV 4X3" SIPHON-P SOUDE PAR SOLVANT FXF</t>
  </si>
  <si>
    <t>103243A</t>
  </si>
  <si>
    <t>103243A ABS DWV 1 1/2" SIPHON DE BAIGNOIRE FXF NOIR</t>
  </si>
  <si>
    <t>103251ABC</t>
  </si>
  <si>
    <t>103251ABC ABS DWV 1 1/2" SIPHON S FXF NOIR CANPLAS</t>
  </si>
  <si>
    <t>103420 ABS DWV 1 1/2" ADPT SANS MOYEU FXM NOIR CANPLAS</t>
  </si>
  <si>
    <t>103422 ABS DWV 2" ADPT SANS MOYEU FXM NOIR CANPLAS</t>
  </si>
  <si>
    <t>103423 ABS DWV 3" ADPT SANS MOYEU FXM NOIR CANPLAS</t>
  </si>
  <si>
    <t>103424 ABS DWV 4" ADPT SANS MOYEU FXM NOIR CANPLAS</t>
  </si>
  <si>
    <t>103428 ABS DWV 4X3" ADPT SANS MOYEU FXM NOIR CANPLAS</t>
  </si>
  <si>
    <t>103452 ABS DWV 2" ADPT DE MOYEU FONTE FXM NOIR CANPLAS</t>
  </si>
  <si>
    <t>103453 ABS DWV 3" ADPT DE MOYEU FONTE FXM NOIR CANPLAS</t>
  </si>
  <si>
    <t>103464 ABS DWV 4X3" ADPT DE MOYEU FONTE FXM NOIR</t>
  </si>
  <si>
    <t>103502 ABS DWV 3X2 5/8" MAMELON MPTXMPT NOIR CANPLAS</t>
  </si>
  <si>
    <t>103604 ABS DWV 4" BRIDE DE SOL 1PC AVEC SOUFFLETS F NOIR</t>
  </si>
  <si>
    <t>103624 ABS DWV 4X3" BRIDES DE SOL ADJUSTABLE F NOIR</t>
  </si>
  <si>
    <t>103624T</t>
  </si>
  <si>
    <t>103624T ABS DWV 4X3" BRIDES DE SOL ADJUSTABLE AVEC</t>
  </si>
  <si>
    <t>103626 ABS DWV 4X3" BRIDES DE SOL ADJUSTABLE M NOIR</t>
  </si>
  <si>
    <t>103626T</t>
  </si>
  <si>
    <t>103626T ABS DWV 4X3" BRIDES DE SOL ADJUSTABLE AVEC</t>
  </si>
  <si>
    <t>103627BC</t>
  </si>
  <si>
    <t>103627BC ABS DWV 4X3" BRIDES DE SOL ADJUSTABLE F NOIR</t>
  </si>
  <si>
    <t>103627T</t>
  </si>
  <si>
    <t>103627T ABS DWV 4X3" BRIDES DE SOL ADJUSTABLE AVEC</t>
  </si>
  <si>
    <t>103630 ABS DWV 4X3" BRIDES DE SOL ADJUSTABLE TUYAU 3 PO</t>
  </si>
  <si>
    <t>103631 ABS DWV 4X3" BRIDES DE SOL F/M NOIR CANPLAS</t>
  </si>
  <si>
    <t>103631T</t>
  </si>
  <si>
    <t>103631T ABS DWV 4X3" BRIDE DE SOL1 PC AVEC DISQUE</t>
  </si>
  <si>
    <t>103631X</t>
  </si>
  <si>
    <t>103631X ABS DWV 4X3" BRIDE DE SOL1 PC F/M NOIR CANPLAS</t>
  </si>
  <si>
    <t>103633 ABS DWV 4X3" BRIDE DE SOL1 PC RAINURE FIXE F NOIR</t>
  </si>
  <si>
    <t>103634 ABS DWV 4X3" BRIDE DE SOL1 PC AVEC SOUFFLETS F</t>
  </si>
  <si>
    <t>103634-3</t>
  </si>
  <si>
    <t>103634-3 ABS DWV 4X3" BRIDES DE SOL RED 1 3/4 PO TOTALE</t>
  </si>
  <si>
    <t>103634-4</t>
  </si>
  <si>
    <t>103634-4 ABS DWV 4X3" BRIDES DE SOL RED 2 1/4 PO TOTALE</t>
  </si>
  <si>
    <t>103634-5</t>
  </si>
  <si>
    <t>103634-5 ABS DWV 4X3" BRIDES DE SOL RED 1 3/4 PO TOTALE</t>
  </si>
  <si>
    <t>103634-7</t>
  </si>
  <si>
    <t>103634-7 ABS DWV 4X3" BRIDES DE SOL RED 2 1/2 PO TOTALE M</t>
  </si>
  <si>
    <t>103634T</t>
  </si>
  <si>
    <t>103634T ABS DWV 4X3" BRIDES DE SOL AVEC DISQUE DEPREUVE</t>
  </si>
  <si>
    <t>103644 ABS DWV 4X3" BRIDES DECENTREE F NOIR CANPLAS</t>
  </si>
  <si>
    <t>103700-1</t>
  </si>
  <si>
    <t>103700-1 ABS DWV 1 1/4" ADPT DE NETT FEMELLE FPTXM NOIR</t>
  </si>
  <si>
    <t>103700A</t>
  </si>
  <si>
    <t>103700A ABS DWV 1 1/4" ADPT DE NETT FEMELLE FPTXM NOIR</t>
  </si>
  <si>
    <t>103701-1</t>
  </si>
  <si>
    <t>103701-1 ABS DWV 1 1/2" ADPT DE NETT FEMELLE FPTXM NOIR</t>
  </si>
  <si>
    <t>103701A</t>
  </si>
  <si>
    <t>103701A ABS DWV 1 1/2" ADPT DE NETT FEMELLE FPTXM NOIR</t>
  </si>
  <si>
    <t>103702A</t>
  </si>
  <si>
    <t>103702A ABS DWV 2" ADPT DE NETT FEMELLE AVEC BOUCHON</t>
  </si>
  <si>
    <t>103703-1BC</t>
  </si>
  <si>
    <t>103703-1BC ABS DWV 3" ADPT DE NETT FEMELLE FPTXM NOIR</t>
  </si>
  <si>
    <t>103703A</t>
  </si>
  <si>
    <t>103703A ABS DWV 3" ADPT DE NETT FEMELLE AVEC BOUCHON</t>
  </si>
  <si>
    <t>103704-1</t>
  </si>
  <si>
    <t>103704-1 ABS DWV 4" ADAPTATEUR DE VIDANGE MXF</t>
  </si>
  <si>
    <t>103704A</t>
  </si>
  <si>
    <t>103704A ABS DWV 4" ADPT DE NETT FEMELLE AVEC BOUCHON</t>
  </si>
  <si>
    <t>103706A</t>
  </si>
  <si>
    <t>103706A ABS DWV 6" ADPT DE NETT FEMELLE AVEC BOUCHON</t>
  </si>
  <si>
    <t>103750 ABS DWV 3X1 1/2X1 1/2" TEHORIZONTAL JUMELE FXFXF</t>
  </si>
  <si>
    <t>103761 ABS DWV 1 1/2" DISQUE D'EPREUVE M NOIR CANPLAS</t>
  </si>
  <si>
    <t>103762 ABS DWV 2" DISQUE D'EPREUVE M NOIR CANPLAS</t>
  </si>
  <si>
    <t>103763 ABS DWV 3" DISQUE D'EPREUVE M BLANC CANPLAS</t>
  </si>
  <si>
    <t>103764 ABS DWV 4" DISQUE D'EPREUVE M NOIR CANPLAS</t>
  </si>
  <si>
    <t>103863 ABS DWV 3" GR DE VIDANGE M NOIR CANPLAS</t>
  </si>
  <si>
    <t>103864 ABS DWV 4" GR DE VIDANGE M NOIR CANPLAS</t>
  </si>
  <si>
    <t>103930 ABS DWV 1 1/4" ECROU A JOINT COULISSANT FPT NOIR</t>
  </si>
  <si>
    <t>103931 ABS DWV 1 1/2" ECROU A JOINT COULISSANT FPT NOIR</t>
  </si>
  <si>
    <t>103932 ABS DWV 2" ECROU A JOINT COULISSANT FPT NOIR</t>
  </si>
  <si>
    <t>103940ABC</t>
  </si>
  <si>
    <t>103940ABC ABS DWV 1 1/2" SORTIE D'EVACUATION D'EXTREMITE</t>
  </si>
  <si>
    <t>103941ABC</t>
  </si>
  <si>
    <t>103941ABC ABS DWV 1 1/2" SORTIE D'EVACUATION CENTRALE</t>
  </si>
  <si>
    <t>103950ABC</t>
  </si>
  <si>
    <t>103950ABC ABS DWV 1 1/2" ENSEMBLE D'EVIERS ADPT DE SIPHON</t>
  </si>
  <si>
    <t>103951ABC</t>
  </si>
  <si>
    <t>103951ABC ABS DWV 1 1/2" SORTIE D'EVACUATION D'EXTREMITE</t>
  </si>
  <si>
    <t>103952ABC</t>
  </si>
  <si>
    <t>103952ABC ABS DWV 1 1/2" ENSEMBLE D'EVIERS ADPT DE SIPHON</t>
  </si>
  <si>
    <t>103953ABC</t>
  </si>
  <si>
    <t>103953ABC ABS DWV 1 1/2" SORTIE D'EVACUATION CENTRALE</t>
  </si>
  <si>
    <t>104149 ABS DWV 2X1 1/2X1 1/2X1 1/2" RACC D'APPAREIL DBL</t>
  </si>
  <si>
    <t>104152 ABS DWV 2X1 1/2X2X2" RACCD'APPAREIL DBL FXFXFXF</t>
  </si>
  <si>
    <t>104154 ABS DWV 3X2X3X3" RACC D'APPAREIL DBL FXFXFXF</t>
  </si>
  <si>
    <t>104155 ABS DWV 3" RACC D'APPAREIL DBL FXFXFXF</t>
  </si>
  <si>
    <t>104301 ABS DWV 1 1/2" T-Y GRAND RAYON FXFXF NOIR CANPLAS</t>
  </si>
  <si>
    <t>104302 ABS DWV 2" T-Y GRAND RAYON FXFXF NOIR CANPLAS</t>
  </si>
  <si>
    <t>104303 ABS DWV 3" T-Y GRAND RAYON FXFXF NOIR CANPLAS</t>
  </si>
  <si>
    <t>104304 ABS DWV 4" T-Y GRAND RAYON FXFXF NOIR CANPLAS</t>
  </si>
  <si>
    <t>104317 ABS DWV 2X1 1/2X1 1/2" T-Y GRAND RAYON FXFXF NOIR</t>
  </si>
  <si>
    <t>104318 ABS DWV 2X1 1/2X2" T-Y GRAND RAYON FXFXF NOIR</t>
  </si>
  <si>
    <t>104320 ABS DWV 2X2X1 1/2" T-Y GRAND RAYON FXFXF NOIR</t>
  </si>
  <si>
    <t>104326 ABS DWV 3X3X1 1/2" T-Y GRAND RAYON FXFXF NOIR</t>
  </si>
  <si>
    <t>104327 ABS DWV 3X3X2" T-Y GRAND RAYON FXFXF NOIR CANPLAS</t>
  </si>
  <si>
    <t>104337 ABS DWV 4X4X2" T-Y GRAND RAYON FXFXF NOIR CANPLAS</t>
  </si>
  <si>
    <t>104338 ABS DWV 4X4X3" T-Y GRAND RAYON FXFXF NOIR CANPLAS</t>
  </si>
  <si>
    <t>105126L</t>
  </si>
  <si>
    <t>105126L ABS DWV 2X2X1 1/2" TE SANRACC MXFXF NOIR CANPLAS</t>
  </si>
  <si>
    <t>105130L</t>
  </si>
  <si>
    <t>105130L ABS DWV 3X3X2" TE SAN RACC MXFXF NOIR CANPLAS</t>
  </si>
  <si>
    <t>105131 ABS DWV 3X3X1 1/2" TE SANRACC MXFXF NOIR CANPLAS</t>
  </si>
  <si>
    <t>105151 ABS DWV 1 1/2" TE SAN RACC MXFXF NOIR CANPLAS</t>
  </si>
  <si>
    <t>105153 ABS DWV 3" TE SAN RACC MXFXF NOIR CANPLAS</t>
  </si>
  <si>
    <t>105154 ABS DWV 4" TE SAN RACC MXFXF NOIR CANPLAS</t>
  </si>
  <si>
    <t>105276 ABS DWV 1 1/2" 90D COUDE RACC GRAND RAYON MXF NOIR</t>
  </si>
  <si>
    <t>105277 ABS DWV 2" 90D COUDE RACCGRAND RAYON MXF NOIR</t>
  </si>
  <si>
    <t>105278 ABS DWV 3" 90D COUDE RACCGRAND RAYON MXF NOIR</t>
  </si>
  <si>
    <t>105279 ABS DWV 4" 90D COUDE RACCGRAND RAYON MXF NOIR</t>
  </si>
  <si>
    <t>105303 ABS DWV 3" TE EN Y RACC MXFXF NOIR CANPLAS</t>
  </si>
  <si>
    <t>109210-003</t>
  </si>
  <si>
    <t>109210-003 PE 1 1/4" RONDELLE A JOINT COULISSANT BLANC</t>
  </si>
  <si>
    <t>109210-004</t>
  </si>
  <si>
    <t>109210-004 PE 1 1/2" RONDELLE A JOINT COULISSANT BLANC</t>
  </si>
  <si>
    <t>109210-005</t>
  </si>
  <si>
    <t>109210-005 PE 2" RONDELLE A JOINT COULISSANT BLANC CANPLAS</t>
  </si>
  <si>
    <t>113631EO</t>
  </si>
  <si>
    <t>113631EO ABS DWV 4X3" BRIDE DE SOL1 PC AVEC DISQUE DEPREUVE</t>
  </si>
  <si>
    <t>112002 PP 2" CREPINE DE TERMINATION M NOIR</t>
  </si>
  <si>
    <t>112002W</t>
  </si>
  <si>
    <t>112002W PP 2" CREPINE DE TERMINATION M BLANC</t>
  </si>
  <si>
    <t>112003 PP 3" CREPINE DE TERMINATION M NOIR</t>
  </si>
  <si>
    <t>112003W</t>
  </si>
  <si>
    <t>112003W PP 3" CREPINE DE TERMINATION M BLANC</t>
  </si>
  <si>
    <t>112107AT</t>
  </si>
  <si>
    <t>112107AT ABS DWV 4X3X4" TE DE NETTRED AVEC BOUCHON ET</t>
  </si>
  <si>
    <t>112171A</t>
  </si>
  <si>
    <t>112171A ABS DWV 1 1/2" ADPT T POUR SIPHON FXFXJT</t>
  </si>
  <si>
    <t>112191A</t>
  </si>
  <si>
    <t>112191A ABS DWV 1 1/2" ADPT DE CREPINE D'EVIER POUR TE</t>
  </si>
  <si>
    <t>112281A</t>
  </si>
  <si>
    <t>112281A ABS DWV 1 1/2" 90D ADPT POUR SIPHON AVEC JT</t>
  </si>
  <si>
    <t>112286A</t>
  </si>
  <si>
    <t>112286A ABS DWV 1 1/2X1 1/4" 90D ADPT POUR SIPHON FXFXJT</t>
  </si>
  <si>
    <t>112291A</t>
  </si>
  <si>
    <t>112291A ABS DWV 1 1/2" 90D ADPT DE CREPINE D'EVIER POUR</t>
  </si>
  <si>
    <t>112320 ABS DWV 1 1/2" ADPT POUR APPAREILS MENAGERS</t>
  </si>
  <si>
    <t>112321 ABS DWV 1 1/2" TE EN Y POUR APPAREILS MENAGERS</t>
  </si>
  <si>
    <t>112332 ABS DWV 1 1/2" TE EN Y POUR APPAREILS MENAGERS</t>
  </si>
  <si>
    <t>112333 ABS DWV 1 1/2" TE EN Y POUR APPAREILS MENAGERS</t>
  </si>
  <si>
    <t>113609 ABS DWV BAGUE D'ESPACEMENT 6 TROUS NOIR</t>
  </si>
  <si>
    <t>113614EO</t>
  </si>
  <si>
    <t>113614EO ABS DWV 4X3" BRIDES DE SOL ADJUSTABLE AVEC</t>
  </si>
  <si>
    <t>113624EO</t>
  </si>
  <si>
    <t>113624EO ABS DWV 4X3" BRIDES DE SOL ADJUSTABLE AVEC</t>
  </si>
  <si>
    <t>113628 ABS DWV 4X3" 45D BRIDES DE SOL ADJUSTABLE F NOIR</t>
  </si>
  <si>
    <t>113628EO</t>
  </si>
  <si>
    <t>113628EO ABS DWV 4X3" 45D BRIDES DE SOL ADJUSTABLE AVEC</t>
  </si>
  <si>
    <t>113628SS</t>
  </si>
  <si>
    <t>113628SS ABS DWV 4X3" 45D BRIDES DE SOL ADJUSTABLE AVEC</t>
  </si>
  <si>
    <t>113645 ABS DWV 4X3" BRIDES DECENTREE F NOIR CANPLAS</t>
  </si>
  <si>
    <t>113650-1</t>
  </si>
  <si>
    <t>113650-1 ABS DWV 4X3" ADPT DE BRIDE DE SOL F NOIR</t>
  </si>
  <si>
    <t>113650A</t>
  </si>
  <si>
    <t>113650A ABS DWV 4X3" BRIDE DE SOLAVEC ADPT ET DISQUE</t>
  </si>
  <si>
    <t>113660 ABS DWV 2" BRIDE D'URINOIR 4 PO CENTRE M</t>
  </si>
  <si>
    <t>113661 ABS DWV 2" BRIDE D'URINOIR AJUSTABLE 4-7</t>
  </si>
  <si>
    <t>113662 ABS DWV 2" BRIDE D'URINOIR 4 PO CENTRE F</t>
  </si>
  <si>
    <t>113663 ABS DWV 2" BRIDE D'URINOIR AJUSTABLE 4-7</t>
  </si>
  <si>
    <t>119180-002</t>
  </si>
  <si>
    <t>119180-002 ABS DWV 4X3" BAGUE D'ESPACEMENT 4 TROUS NOIR</t>
  </si>
  <si>
    <t>112004W</t>
  </si>
  <si>
    <t>112004W PE 4" CREPINE DE TERMINATION M BLANC</t>
  </si>
  <si>
    <t>113811ABC</t>
  </si>
  <si>
    <t>113811ABC ABS DWV 1 1/2" JOINT D'EXPENTION TYPE 1 FXF</t>
  </si>
  <si>
    <t>113812ABC</t>
  </si>
  <si>
    <t>113812ABC ABS DWV 2" JOINT D'EXPENTION TYPE 1 FXF</t>
  </si>
  <si>
    <t>113813ABC</t>
  </si>
  <si>
    <t>113813ABC ABS DWV 3" JOINT D'EXPENTION TYPE 1 FXF</t>
  </si>
  <si>
    <t>113814ABC</t>
  </si>
  <si>
    <t>113814ABC ABS DWV 4" JOINT D'EXPENTION TYPE II FXF</t>
  </si>
  <si>
    <t>113811BBC</t>
  </si>
  <si>
    <t>113811BBC ABS DWV 1 1/2" JOINT D'EXPENTION TYPE 1 FXM</t>
  </si>
  <si>
    <t>113812BBC</t>
  </si>
  <si>
    <t>113812BBC ABS DWV 2" JOINT D'EXPENTION TYPE 1 FXM</t>
  </si>
  <si>
    <t>113813BBC</t>
  </si>
  <si>
    <t>113813BBC ABS DWV 3" JOINT D'EXPENTION TYPE 1 FXM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</si>
</sst>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2"/>
  <sheetViews>
    <sheetView tabSelected="1" topLeftCell="A204" workbookViewId="0">
      <selection activeCell="A220" sqref="A220:XFD220"/>
    </sheetView>
  </sheetViews>
  <sheetFormatPr defaultColWidth="8.85546875" defaultRowHeight="15"/>
  <cols>
    <col min="1" max="1" width="13.85546875" style="2" customWidth="1"/>
    <col min="2" max="2" width="12.85546875" style="2" bestFit="1" customWidth="1"/>
    <col min="3" max="3" width="13.7109375" style="2" customWidth="1"/>
    <col min="4" max="4" width="60.7109375" style="2" bestFit="1" customWidth="1"/>
    <col min="5" max="5" width="14.28515625" style="2" customWidth="1"/>
    <col min="6" max="6" width="9.140625" style="2" bestFit="1" customWidth="1"/>
    <col min="7" max="7" width="8.85546875" style="2"/>
    <col min="8" max="8" width="16.28515625" style="2" bestFit="1" customWidth="1"/>
    <col min="9" max="9" width="8" style="2" customWidth="1"/>
    <col min="10" max="10" width="7.42578125" style="2" bestFit="1" customWidth="1"/>
    <col min="11" max="11" width="62.7109375" bestFit="1" customWidth="1"/>
  </cols>
  <sheetData>
    <row r="1" spans="1:10" ht="4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tr">
        <f>("662671103253")</f>
        <v>662671103253</v>
      </c>
      <c r="C2" s="2" t="s">
        <v>11</v>
      </c>
      <c r="D2" s="2" t="s">
        <v>12</v>
      </c>
      <c r="E2" s="2">
        <v>21.19</v>
      </c>
      <c r="F2" s="3">
        <v>45323</v>
      </c>
      <c r="G2" s="2">
        <v>7.0000000000000001E-3</v>
      </c>
      <c r="H2" s="2" t="str">
        <f>("10662671103250")</f>
        <v>10662671103250</v>
      </c>
      <c r="I2" s="2">
        <v>125</v>
      </c>
      <c r="J2" s="2">
        <v>18000</v>
      </c>
    </row>
    <row r="3" spans="1:10">
      <c r="A3" s="2" t="s">
        <v>10</v>
      </c>
      <c r="B3" s="2" t="str">
        <f>("662671103260")</f>
        <v>662671103260</v>
      </c>
      <c r="C3" s="2" t="s">
        <v>13</v>
      </c>
      <c r="D3" s="2" t="s">
        <v>14</v>
      </c>
      <c r="E3" s="2">
        <v>7.49</v>
      </c>
      <c r="F3" s="3">
        <v>45323</v>
      </c>
      <c r="G3" s="2">
        <v>8.9999999999999993E-3</v>
      </c>
      <c r="H3" s="2" t="str">
        <f>("10662671103267")</f>
        <v>10662671103267</v>
      </c>
      <c r="I3" s="2">
        <v>200</v>
      </c>
      <c r="J3" s="2">
        <v>14400</v>
      </c>
    </row>
    <row r="4" spans="1:10">
      <c r="A4" s="2" t="s">
        <v>10</v>
      </c>
      <c r="B4" s="2" t="str">
        <f>("662671103277")</f>
        <v>662671103277</v>
      </c>
      <c r="C4" s="2" t="s">
        <v>15</v>
      </c>
      <c r="D4" s="2" t="s">
        <v>16</v>
      </c>
      <c r="E4" s="2">
        <v>17.29</v>
      </c>
      <c r="F4" s="3">
        <v>45323</v>
      </c>
      <c r="G4" s="2">
        <v>1.2E-2</v>
      </c>
      <c r="H4" s="2" t="str">
        <f>("10662671103274")</f>
        <v>10662671103274</v>
      </c>
      <c r="I4" s="2">
        <v>150</v>
      </c>
      <c r="J4" s="2">
        <v>10800</v>
      </c>
    </row>
    <row r="5" spans="1:10">
      <c r="A5" s="2" t="s">
        <v>10</v>
      </c>
      <c r="B5" s="2" t="str">
        <f>("662671103284")</f>
        <v>662671103284</v>
      </c>
      <c r="C5" s="2" t="s">
        <v>17</v>
      </c>
      <c r="D5" s="2" t="s">
        <v>18</v>
      </c>
      <c r="E5" s="2">
        <v>23.36</v>
      </c>
      <c r="F5" s="3">
        <v>45323</v>
      </c>
      <c r="G5" s="2">
        <v>2.4E-2</v>
      </c>
      <c r="H5" s="2" t="str">
        <f>("10662671103281")</f>
        <v>10662671103281</v>
      </c>
      <c r="I5" s="2">
        <v>35</v>
      </c>
      <c r="J5" s="2">
        <v>2520</v>
      </c>
    </row>
    <row r="6" spans="1:10">
      <c r="A6" s="2" t="s">
        <v>10</v>
      </c>
      <c r="B6" s="2" t="str">
        <f>("662671103291")</f>
        <v>662671103291</v>
      </c>
      <c r="C6" s="2" t="s">
        <v>19</v>
      </c>
      <c r="D6" s="2" t="s">
        <v>20</v>
      </c>
      <c r="E6" s="2">
        <v>27.57</v>
      </c>
      <c r="F6" s="3">
        <v>45323</v>
      </c>
      <c r="G6" s="2">
        <v>3.5000000000000003E-2</v>
      </c>
      <c r="H6" s="2" t="str">
        <f>("10662671103298")</f>
        <v>10662671103298</v>
      </c>
      <c r="I6" s="2">
        <v>40</v>
      </c>
      <c r="J6" s="2">
        <v>1920</v>
      </c>
    </row>
    <row r="7" spans="1:10">
      <c r="A7" s="2" t="s">
        <v>10</v>
      </c>
      <c r="B7" s="2" t="str">
        <f>("662671109026")</f>
        <v>662671109026</v>
      </c>
      <c r="C7" s="2" t="s">
        <v>21</v>
      </c>
      <c r="D7" s="2" t="s">
        <v>22</v>
      </c>
      <c r="E7" s="2">
        <v>116.48</v>
      </c>
      <c r="F7" s="3">
        <v>45323</v>
      </c>
      <c r="G7" s="2">
        <v>9.1999999999999998E-2</v>
      </c>
      <c r="H7" s="2" t="str">
        <f>("10662671109023")</f>
        <v>10662671109023</v>
      </c>
      <c r="I7" s="2">
        <v>10</v>
      </c>
      <c r="J7" s="2">
        <v>480</v>
      </c>
    </row>
    <row r="8" spans="1:10">
      <c r="A8" s="2" t="s">
        <v>10</v>
      </c>
      <c r="B8" s="2" t="str">
        <f>("662671100016")</f>
        <v>662671100016</v>
      </c>
      <c r="C8" s="2" t="s">
        <v>23</v>
      </c>
      <c r="D8" s="2" t="s">
        <v>24</v>
      </c>
      <c r="E8" s="2">
        <v>358.18</v>
      </c>
      <c r="F8" s="3">
        <v>45323</v>
      </c>
      <c r="G8" s="2">
        <v>0.75</v>
      </c>
      <c r="H8" s="2" t="str">
        <f>("10662671100013")</f>
        <v>10662671100013</v>
      </c>
      <c r="I8" s="2">
        <v>15</v>
      </c>
      <c r="J8" s="2">
        <v>270</v>
      </c>
    </row>
    <row r="9" spans="1:10">
      <c r="A9" s="2" t="s">
        <v>10</v>
      </c>
      <c r="B9" s="2" t="str">
        <f>("662671100030")</f>
        <v>662671100030</v>
      </c>
      <c r="C9" s="2" t="s">
        <v>25</v>
      </c>
      <c r="D9" s="2" t="s">
        <v>26</v>
      </c>
      <c r="E9" s="2">
        <v>76.790000000000006</v>
      </c>
      <c r="F9" s="3">
        <v>45323</v>
      </c>
      <c r="G9" s="2">
        <v>7.4999999999999997E-2</v>
      </c>
      <c r="H9" s="2" t="str">
        <f>("10662671100037")</f>
        <v>10662671100037</v>
      </c>
      <c r="I9" s="2">
        <v>50</v>
      </c>
      <c r="J9" s="2">
        <v>2400</v>
      </c>
    </row>
    <row r="10" spans="1:10">
      <c r="A10" s="2" t="s">
        <v>10</v>
      </c>
      <c r="B10" s="2" t="str">
        <f>("662671100047")</f>
        <v>662671100047</v>
      </c>
      <c r="C10" s="2" t="s">
        <v>27</v>
      </c>
      <c r="D10" s="2" t="s">
        <v>28</v>
      </c>
      <c r="E10" s="2">
        <v>123.41</v>
      </c>
      <c r="F10" s="3">
        <v>45323</v>
      </c>
      <c r="G10" s="2">
        <v>0.13600000000000001</v>
      </c>
      <c r="H10" s="2" t="str">
        <f>("10662671100044")</f>
        <v>10662671100044</v>
      </c>
      <c r="I10" s="2">
        <v>45</v>
      </c>
      <c r="J10" s="2">
        <v>1440</v>
      </c>
    </row>
    <row r="11" spans="1:10">
      <c r="A11" s="2" t="s">
        <v>10</v>
      </c>
      <c r="B11" s="2" t="str">
        <f>("662671100054")</f>
        <v>662671100054</v>
      </c>
      <c r="C11" s="2" t="s">
        <v>29</v>
      </c>
      <c r="D11" s="2" t="s">
        <v>30</v>
      </c>
      <c r="E11" s="2">
        <v>202.61</v>
      </c>
      <c r="F11" s="3">
        <v>45323</v>
      </c>
      <c r="G11" s="2">
        <v>0.44</v>
      </c>
      <c r="H11" s="2" t="str">
        <f>("10662671100051")</f>
        <v>10662671100051</v>
      </c>
      <c r="I11" s="2">
        <v>15</v>
      </c>
      <c r="J11" s="2">
        <v>480</v>
      </c>
    </row>
    <row r="12" spans="1:10">
      <c r="A12" s="2" t="s">
        <v>10</v>
      </c>
      <c r="B12" s="2" t="str">
        <f>("662671100061")</f>
        <v>662671100061</v>
      </c>
      <c r="C12" s="2" t="s">
        <v>31</v>
      </c>
      <c r="D12" s="2" t="s">
        <v>32</v>
      </c>
      <c r="E12" s="2">
        <v>447.58</v>
      </c>
      <c r="F12" s="3">
        <v>45323</v>
      </c>
      <c r="G12" s="2">
        <v>0.752</v>
      </c>
      <c r="H12" s="2" t="str">
        <f>("10662671100068")</f>
        <v>10662671100068</v>
      </c>
      <c r="I12" s="2">
        <v>15</v>
      </c>
      <c r="J12" s="2">
        <v>270</v>
      </c>
    </row>
    <row r="13" spans="1:10">
      <c r="A13" s="2" t="s">
        <v>10</v>
      </c>
      <c r="B13" s="2" t="str">
        <f>("662671103529")</f>
        <v>662671103529</v>
      </c>
      <c r="C13" s="2" t="s">
        <v>33</v>
      </c>
      <c r="D13" s="2" t="s">
        <v>34</v>
      </c>
      <c r="E13" s="2">
        <v>1513.23</v>
      </c>
      <c r="F13" s="3">
        <v>45323</v>
      </c>
      <c r="G13" s="2">
        <v>1.98</v>
      </c>
      <c r="H13" s="2" t="str">
        <f>("10662671103526")</f>
        <v>10662671103526</v>
      </c>
      <c r="I13" s="2">
        <v>4</v>
      </c>
      <c r="J13" s="2">
        <v>72</v>
      </c>
    </row>
    <row r="14" spans="1:10">
      <c r="A14" s="2" t="s">
        <v>10</v>
      </c>
      <c r="B14" s="2" t="str">
        <f>("662671100085")</f>
        <v>662671100085</v>
      </c>
      <c r="C14" s="2">
        <v>102126</v>
      </c>
      <c r="D14" s="2" t="s">
        <v>35</v>
      </c>
      <c r="E14" s="2">
        <v>44.91</v>
      </c>
      <c r="F14" s="3">
        <v>45323</v>
      </c>
      <c r="G14" s="2">
        <v>0.114</v>
      </c>
      <c r="H14" s="2" t="str">
        <f>("10662671100082")</f>
        <v>10662671100082</v>
      </c>
      <c r="I14" s="2">
        <v>50</v>
      </c>
      <c r="J14" s="2">
        <v>1600</v>
      </c>
    </row>
    <row r="15" spans="1:10">
      <c r="A15" s="2" t="s">
        <v>10</v>
      </c>
      <c r="B15" s="2" t="str">
        <f>("662671100092")</f>
        <v>662671100092</v>
      </c>
      <c r="C15" s="2">
        <v>102127</v>
      </c>
      <c r="D15" s="2" t="s">
        <v>36</v>
      </c>
      <c r="E15" s="2">
        <v>82.88</v>
      </c>
      <c r="F15" s="3">
        <v>45323</v>
      </c>
      <c r="G15" s="2">
        <v>0.123</v>
      </c>
      <c r="H15" s="2" t="str">
        <f>("10662671100099")</f>
        <v>10662671100099</v>
      </c>
      <c r="I15" s="2">
        <v>25</v>
      </c>
      <c r="J15" s="2">
        <v>1800</v>
      </c>
    </row>
    <row r="16" spans="1:10">
      <c r="A16" s="2" t="s">
        <v>10</v>
      </c>
      <c r="B16" s="2" t="str">
        <f>("662671100108")</f>
        <v>662671100108</v>
      </c>
      <c r="C16" s="2">
        <v>102128</v>
      </c>
      <c r="D16" s="2" t="s">
        <v>37</v>
      </c>
      <c r="E16" s="2">
        <v>45.14</v>
      </c>
      <c r="F16" s="3">
        <v>45323</v>
      </c>
      <c r="G16" s="2">
        <v>0.109</v>
      </c>
      <c r="H16" s="2" t="str">
        <f>("10662671100105")</f>
        <v>10662671100105</v>
      </c>
      <c r="I16" s="2">
        <v>35</v>
      </c>
      <c r="J16" s="2">
        <v>1680</v>
      </c>
    </row>
    <row r="17" spans="1:10">
      <c r="A17" s="2" t="s">
        <v>10</v>
      </c>
      <c r="B17" s="2" t="str">
        <f>("662671100122")</f>
        <v>662671100122</v>
      </c>
      <c r="C17" s="2">
        <v>102130</v>
      </c>
      <c r="D17" s="2" t="s">
        <v>38</v>
      </c>
      <c r="E17" s="2">
        <v>96.42</v>
      </c>
      <c r="F17" s="3">
        <v>45323</v>
      </c>
      <c r="G17" s="2">
        <v>0.28699999999999998</v>
      </c>
      <c r="H17" s="2" t="str">
        <f>("10662671100129")</f>
        <v>10662671100129</v>
      </c>
      <c r="I17" s="2">
        <v>20</v>
      </c>
      <c r="J17" s="2">
        <v>640</v>
      </c>
    </row>
    <row r="18" spans="1:10">
      <c r="A18" s="2" t="s">
        <v>10</v>
      </c>
      <c r="B18" s="2" t="str">
        <f>("662671100139")</f>
        <v>662671100139</v>
      </c>
      <c r="C18" s="2">
        <v>102131</v>
      </c>
      <c r="D18" s="2" t="s">
        <v>39</v>
      </c>
      <c r="E18" s="2">
        <v>82.88</v>
      </c>
      <c r="F18" s="3">
        <v>45323</v>
      </c>
      <c r="G18" s="2">
        <v>0.25600000000000001</v>
      </c>
      <c r="H18" s="2" t="str">
        <f>("10662671100136")</f>
        <v>10662671100136</v>
      </c>
      <c r="I18" s="2">
        <v>25</v>
      </c>
      <c r="J18" s="2">
        <v>800</v>
      </c>
    </row>
    <row r="19" spans="1:10">
      <c r="A19" s="2" t="s">
        <v>10</v>
      </c>
      <c r="B19" s="2" t="str">
        <f>("662671100153")</f>
        <v>662671100153</v>
      </c>
      <c r="C19" s="2">
        <v>102132</v>
      </c>
      <c r="D19" s="2" t="s">
        <v>40</v>
      </c>
      <c r="E19" s="2">
        <v>55.88</v>
      </c>
      <c r="F19" s="3">
        <v>45323</v>
      </c>
      <c r="G19" s="2">
        <v>8.4000000000000005E-2</v>
      </c>
      <c r="H19" s="2" t="str">
        <f>("10662671100150")</f>
        <v>10662671100150</v>
      </c>
      <c r="I19" s="2">
        <v>40</v>
      </c>
      <c r="J19" s="2">
        <v>2880</v>
      </c>
    </row>
    <row r="20" spans="1:10">
      <c r="A20" s="2" t="s">
        <v>10</v>
      </c>
      <c r="B20" s="2" t="str">
        <f>("662671100160")</f>
        <v>662671100160</v>
      </c>
      <c r="C20" s="2" t="s">
        <v>41</v>
      </c>
      <c r="D20" s="2" t="s">
        <v>42</v>
      </c>
      <c r="E20" s="2">
        <v>171.83</v>
      </c>
      <c r="F20" s="3">
        <v>45323</v>
      </c>
      <c r="G20" s="2">
        <v>0.126</v>
      </c>
      <c r="H20" s="2" t="str">
        <f>("20662671100164")</f>
        <v>20662671100164</v>
      </c>
      <c r="I20" s="2">
        <v>25</v>
      </c>
      <c r="J20" s="2">
        <v>1800</v>
      </c>
    </row>
    <row r="21" spans="1:10">
      <c r="A21" s="2" t="s">
        <v>10</v>
      </c>
      <c r="B21" s="2" t="str">
        <f>("662671100177")</f>
        <v>662671100177</v>
      </c>
      <c r="C21" s="2">
        <v>102134</v>
      </c>
      <c r="D21" s="2" t="s">
        <v>43</v>
      </c>
      <c r="E21" s="2">
        <v>247.82</v>
      </c>
      <c r="F21" s="3">
        <v>45323</v>
      </c>
      <c r="G21" s="2">
        <v>0.46200000000000002</v>
      </c>
      <c r="H21" s="2" t="str">
        <f>("10662671100174")</f>
        <v>10662671100174</v>
      </c>
      <c r="I21" s="2">
        <v>20</v>
      </c>
      <c r="J21" s="2">
        <v>360</v>
      </c>
    </row>
    <row r="22" spans="1:10">
      <c r="A22" s="2" t="s">
        <v>10</v>
      </c>
      <c r="B22" s="2" t="str">
        <f>("662671100191")</f>
        <v>662671100191</v>
      </c>
      <c r="C22" s="2">
        <v>102136</v>
      </c>
      <c r="D22" s="2" t="s">
        <v>44</v>
      </c>
      <c r="E22" s="2">
        <v>296.43</v>
      </c>
      <c r="F22" s="3">
        <v>45323</v>
      </c>
      <c r="G22" s="2">
        <v>0.63600000000000001</v>
      </c>
      <c r="H22" s="2" t="str">
        <f>("10662671100198")</f>
        <v>10662671100198</v>
      </c>
      <c r="I22" s="2">
        <v>15</v>
      </c>
      <c r="J22" s="2">
        <v>270</v>
      </c>
    </row>
    <row r="23" spans="1:10">
      <c r="A23" s="2" t="s">
        <v>10</v>
      </c>
      <c r="B23" s="2" t="str">
        <f>("662671107480")</f>
        <v>662671107480</v>
      </c>
      <c r="C23" s="2">
        <v>102144</v>
      </c>
      <c r="D23" s="2" t="s">
        <v>45</v>
      </c>
      <c r="E23" s="2">
        <v>1134.73</v>
      </c>
      <c r="F23" s="3">
        <v>45323</v>
      </c>
      <c r="G23" s="2">
        <v>1.4279999999999999</v>
      </c>
      <c r="H23" s="2" t="str">
        <f>("10662671107487")</f>
        <v>10662671107487</v>
      </c>
      <c r="I23" s="2">
        <v>5</v>
      </c>
      <c r="J23" s="2">
        <v>90</v>
      </c>
    </row>
    <row r="24" spans="1:10">
      <c r="A24" s="2" t="s">
        <v>10</v>
      </c>
      <c r="B24" s="2" t="str">
        <f>("662671100214")</f>
        <v>662671100214</v>
      </c>
      <c r="C24" s="2" t="s">
        <v>46</v>
      </c>
      <c r="D24" s="2" t="s">
        <v>47</v>
      </c>
      <c r="E24" s="2">
        <v>257.11</v>
      </c>
      <c r="F24" s="3">
        <v>45323</v>
      </c>
      <c r="G24" s="2">
        <v>0.496</v>
      </c>
      <c r="H24" s="2" t="str">
        <f>("10662671100211")</f>
        <v>10662671100211</v>
      </c>
      <c r="I24" s="2">
        <v>10</v>
      </c>
      <c r="J24" s="2">
        <v>320</v>
      </c>
    </row>
    <row r="25" spans="1:10">
      <c r="A25" s="2" t="s">
        <v>10</v>
      </c>
      <c r="B25" s="2" t="str">
        <f>("662671100238")</f>
        <v>662671100238</v>
      </c>
      <c r="C25" s="2" t="s">
        <v>48</v>
      </c>
      <c r="D25" s="2" t="s">
        <v>49</v>
      </c>
      <c r="E25" s="2">
        <v>257.11</v>
      </c>
      <c r="F25" s="3">
        <v>45323</v>
      </c>
      <c r="G25" s="2">
        <v>0.49</v>
      </c>
      <c r="H25" s="2" t="str">
        <f>("10662671100235")</f>
        <v>10662671100235</v>
      </c>
      <c r="I25" s="2">
        <v>10</v>
      </c>
      <c r="J25" s="2">
        <v>320</v>
      </c>
    </row>
    <row r="26" spans="1:10">
      <c r="A26" s="2" t="s">
        <v>10</v>
      </c>
      <c r="B26" s="2" t="str">
        <f>("662671100245")</f>
        <v>662671100245</v>
      </c>
      <c r="C26" s="2" t="s">
        <v>50</v>
      </c>
      <c r="D26" s="2" t="s">
        <v>51</v>
      </c>
      <c r="E26" s="2">
        <v>257.11</v>
      </c>
      <c r="F26" s="3">
        <v>45323</v>
      </c>
      <c r="G26" s="2">
        <v>0.49099999999999999</v>
      </c>
      <c r="H26" s="2" t="str">
        <f>("10662671100242")</f>
        <v>10662671100242</v>
      </c>
      <c r="I26" s="2">
        <v>10</v>
      </c>
      <c r="J26" s="2">
        <v>320</v>
      </c>
    </row>
    <row r="27" spans="1:10">
      <c r="A27" s="2" t="s">
        <v>10</v>
      </c>
      <c r="B27" s="2" t="str">
        <f>("662671107367")</f>
        <v>662671107367</v>
      </c>
      <c r="C27" s="2" t="s">
        <v>52</v>
      </c>
      <c r="D27" s="2" t="s">
        <v>53</v>
      </c>
      <c r="E27" s="2">
        <v>632.30999999999995</v>
      </c>
      <c r="F27" s="3">
        <v>45323</v>
      </c>
      <c r="G27" s="2">
        <v>0.59399999999999997</v>
      </c>
      <c r="H27" s="2" t="str">
        <f>("20662671107361")</f>
        <v>20662671107361</v>
      </c>
      <c r="I27" s="2">
        <v>10</v>
      </c>
      <c r="J27" s="2">
        <v>180</v>
      </c>
    </row>
    <row r="28" spans="1:10">
      <c r="A28" s="2" t="s">
        <v>10</v>
      </c>
      <c r="B28" s="2" t="str">
        <f>("662671100252")</f>
        <v>662671100252</v>
      </c>
      <c r="C28" s="2" t="s">
        <v>54</v>
      </c>
      <c r="D28" s="2" t="s">
        <v>55</v>
      </c>
      <c r="E28" s="2">
        <v>257.11</v>
      </c>
      <c r="F28" s="3">
        <v>45323</v>
      </c>
      <c r="G28" s="2">
        <v>0.5</v>
      </c>
      <c r="H28" s="2" t="str">
        <f>("10662671100259")</f>
        <v>10662671100259</v>
      </c>
      <c r="I28" s="2">
        <v>10</v>
      </c>
      <c r="J28" s="2">
        <v>320</v>
      </c>
    </row>
    <row r="29" spans="1:10">
      <c r="A29" s="2" t="s">
        <v>10</v>
      </c>
      <c r="B29" s="2" t="str">
        <f>("662671100269")</f>
        <v>662671100269</v>
      </c>
      <c r="C29" s="2">
        <v>102150</v>
      </c>
      <c r="D29" s="2" t="s">
        <v>56</v>
      </c>
      <c r="E29" s="2">
        <v>53.62</v>
      </c>
      <c r="F29" s="3">
        <v>45323</v>
      </c>
      <c r="G29" s="2">
        <v>7.1999999999999995E-2</v>
      </c>
      <c r="H29" s="2" t="str">
        <f>("10662671100266")</f>
        <v>10662671100266</v>
      </c>
      <c r="I29" s="2">
        <v>50</v>
      </c>
      <c r="J29" s="2">
        <v>3600</v>
      </c>
    </row>
    <row r="30" spans="1:10">
      <c r="A30" s="2" t="s">
        <v>10</v>
      </c>
      <c r="B30" s="2" t="str">
        <f>("662671100276")</f>
        <v>662671100276</v>
      </c>
      <c r="C30" s="2">
        <v>102151</v>
      </c>
      <c r="D30" s="2" t="s">
        <v>57</v>
      </c>
      <c r="E30" s="2">
        <v>28.8</v>
      </c>
      <c r="F30" s="3">
        <v>45323</v>
      </c>
      <c r="G30" s="2">
        <v>8.2000000000000003E-2</v>
      </c>
      <c r="H30" s="2" t="str">
        <f>("10662671100273")</f>
        <v>10662671100273</v>
      </c>
      <c r="I30" s="2">
        <v>90</v>
      </c>
      <c r="J30" s="2">
        <v>2880</v>
      </c>
    </row>
    <row r="31" spans="1:10">
      <c r="A31" s="2" t="s">
        <v>10</v>
      </c>
      <c r="B31" s="2" t="str">
        <f>("662671100290")</f>
        <v>662671100290</v>
      </c>
      <c r="C31" s="2">
        <v>102152</v>
      </c>
      <c r="D31" s="2" t="s">
        <v>58</v>
      </c>
      <c r="E31" s="2">
        <v>62.37</v>
      </c>
      <c r="F31" s="3">
        <v>45323</v>
      </c>
      <c r="G31" s="2">
        <v>0.125</v>
      </c>
      <c r="H31" s="2" t="str">
        <f>("10662671100297")</f>
        <v>10662671100297</v>
      </c>
      <c r="I31" s="2">
        <v>45</v>
      </c>
      <c r="J31" s="2">
        <v>1440</v>
      </c>
    </row>
    <row r="32" spans="1:10">
      <c r="A32" s="2" t="s">
        <v>10</v>
      </c>
      <c r="B32" s="2" t="str">
        <f>("662671100313")</f>
        <v>662671100313</v>
      </c>
      <c r="C32" s="2">
        <v>102153</v>
      </c>
      <c r="D32" s="2" t="s">
        <v>59</v>
      </c>
      <c r="E32" s="2">
        <v>119.32</v>
      </c>
      <c r="F32" s="3">
        <v>45323</v>
      </c>
      <c r="G32" s="2">
        <v>0.45800000000000002</v>
      </c>
      <c r="H32" s="2" t="str">
        <f>("10662671100310")</f>
        <v>10662671100310</v>
      </c>
      <c r="I32" s="2">
        <v>20</v>
      </c>
      <c r="J32" s="2">
        <v>480</v>
      </c>
    </row>
    <row r="33" spans="1:10">
      <c r="A33" s="2" t="s">
        <v>10</v>
      </c>
      <c r="B33" s="2" t="str">
        <f>("662671100337")</f>
        <v>662671100337</v>
      </c>
      <c r="C33" s="2">
        <v>102154</v>
      </c>
      <c r="D33" s="2" t="s">
        <v>60</v>
      </c>
      <c r="E33" s="2">
        <v>285.08999999999997</v>
      </c>
      <c r="F33" s="3">
        <v>45323</v>
      </c>
      <c r="G33" s="2">
        <v>0.70699999999999996</v>
      </c>
      <c r="H33" s="2" t="str">
        <f>("10662671100334")</f>
        <v>10662671100334</v>
      </c>
      <c r="I33" s="2">
        <v>12</v>
      </c>
      <c r="J33" s="2">
        <v>216</v>
      </c>
    </row>
    <row r="34" spans="1:10">
      <c r="A34" s="2" t="s">
        <v>10</v>
      </c>
      <c r="B34" s="2" t="str">
        <f>("662671103567")</f>
        <v>662671103567</v>
      </c>
      <c r="C34" s="2">
        <v>102156</v>
      </c>
      <c r="D34" s="2" t="s">
        <v>61</v>
      </c>
      <c r="E34" s="2">
        <v>1245.01</v>
      </c>
      <c r="F34" s="3">
        <v>45323</v>
      </c>
      <c r="G34" s="2">
        <v>2.0249999999999999</v>
      </c>
      <c r="H34" s="2" t="str">
        <f>("10662671103564")</f>
        <v>10662671103564</v>
      </c>
      <c r="I34" s="2">
        <v>3</v>
      </c>
      <c r="J34" s="2">
        <v>72</v>
      </c>
    </row>
    <row r="35" spans="1:10">
      <c r="A35" s="2" t="s">
        <v>10</v>
      </c>
      <c r="B35" s="2" t="str">
        <f>("662671100368")</f>
        <v>662671100368</v>
      </c>
      <c r="C35" s="2">
        <v>102181</v>
      </c>
      <c r="D35" s="2" t="s">
        <v>62</v>
      </c>
      <c r="E35" s="2">
        <v>193.47</v>
      </c>
      <c r="F35" s="3">
        <v>45323</v>
      </c>
      <c r="G35" s="2">
        <v>0.35799999999999998</v>
      </c>
      <c r="H35" s="2" t="str">
        <f>("10662671100365")</f>
        <v>10662671100365</v>
      </c>
      <c r="I35" s="2">
        <v>15</v>
      </c>
      <c r="J35" s="2">
        <v>480</v>
      </c>
    </row>
    <row r="36" spans="1:10">
      <c r="A36" s="2" t="s">
        <v>10</v>
      </c>
      <c r="B36" s="2" t="str">
        <f>("662671103376")</f>
        <v>662671103376</v>
      </c>
      <c r="C36" s="2">
        <v>102184</v>
      </c>
      <c r="D36" s="2" t="s">
        <v>63</v>
      </c>
      <c r="E36" s="2">
        <v>212.09</v>
      </c>
      <c r="F36" s="3">
        <v>45323</v>
      </c>
      <c r="G36" s="2">
        <v>0.58899999999999997</v>
      </c>
      <c r="H36" s="2" t="str">
        <f>("10662671103373")</f>
        <v>10662671103373</v>
      </c>
      <c r="I36" s="2">
        <v>5</v>
      </c>
      <c r="J36" s="2">
        <v>240</v>
      </c>
    </row>
    <row r="37" spans="1:10">
      <c r="A37" s="2" t="s">
        <v>10</v>
      </c>
      <c r="B37" s="2" t="str">
        <f>("662671100375")</f>
        <v>662671100375</v>
      </c>
      <c r="C37" s="2">
        <v>102185</v>
      </c>
      <c r="D37" s="2" t="s">
        <v>64</v>
      </c>
      <c r="E37" s="2">
        <v>836.21</v>
      </c>
      <c r="F37" s="3">
        <v>45323</v>
      </c>
      <c r="G37" s="2">
        <v>1.048</v>
      </c>
      <c r="H37" s="2" t="str">
        <f>("10662671100372")</f>
        <v>10662671100372</v>
      </c>
      <c r="I37" s="2">
        <v>8</v>
      </c>
      <c r="J37" s="2">
        <v>144</v>
      </c>
    </row>
    <row r="38" spans="1:10">
      <c r="A38" s="2" t="s">
        <v>10</v>
      </c>
      <c r="B38" s="2" t="str">
        <f>("662671100382")</f>
        <v>662671100382</v>
      </c>
      <c r="C38" s="2">
        <v>102186</v>
      </c>
      <c r="D38" s="2" t="s">
        <v>65</v>
      </c>
      <c r="E38" s="2">
        <v>133.71</v>
      </c>
      <c r="F38" s="3">
        <v>45323</v>
      </c>
      <c r="G38" s="2">
        <v>0.2</v>
      </c>
      <c r="H38" s="2" t="str">
        <f>("10662671100389")</f>
        <v>10662671100389</v>
      </c>
      <c r="I38" s="2">
        <v>10</v>
      </c>
      <c r="J38" s="2">
        <v>720</v>
      </c>
    </row>
    <row r="39" spans="1:10">
      <c r="A39" s="2" t="s">
        <v>10</v>
      </c>
      <c r="B39" s="2" t="str">
        <f>("662671100399")</f>
        <v>662671100399</v>
      </c>
      <c r="C39" s="2">
        <v>102187</v>
      </c>
      <c r="D39" s="2" t="s">
        <v>66</v>
      </c>
      <c r="E39" s="2">
        <v>88.68</v>
      </c>
      <c r="F39" s="3">
        <v>45323</v>
      </c>
      <c r="G39" s="2">
        <v>0.123</v>
      </c>
      <c r="H39" s="2" t="str">
        <f>("10662671100396")</f>
        <v>10662671100396</v>
      </c>
      <c r="I39" s="2">
        <v>15</v>
      </c>
      <c r="J39" s="2">
        <v>1080</v>
      </c>
    </row>
    <row r="40" spans="1:10">
      <c r="A40" s="2" t="s">
        <v>10</v>
      </c>
      <c r="B40" s="2" t="str">
        <f>("662671100405")</f>
        <v>662671100405</v>
      </c>
      <c r="C40" s="2">
        <v>102188</v>
      </c>
      <c r="D40" s="2" t="s">
        <v>67</v>
      </c>
      <c r="E40" s="2">
        <v>152.24</v>
      </c>
      <c r="F40" s="3">
        <v>45323</v>
      </c>
      <c r="G40" s="2">
        <v>0.16</v>
      </c>
      <c r="H40" s="2" t="str">
        <f>("10662671100402")</f>
        <v>10662671100402</v>
      </c>
      <c r="I40" s="2">
        <v>20</v>
      </c>
      <c r="J40" s="2">
        <v>960</v>
      </c>
    </row>
    <row r="41" spans="1:10">
      <c r="A41" s="2" t="s">
        <v>10</v>
      </c>
      <c r="B41" s="2" t="str">
        <f>("662671100412")</f>
        <v>662671100412</v>
      </c>
      <c r="C41" s="2">
        <v>102189</v>
      </c>
      <c r="D41" s="2" t="s">
        <v>68</v>
      </c>
      <c r="E41" s="2">
        <v>185.48</v>
      </c>
      <c r="F41" s="3">
        <v>45323</v>
      </c>
      <c r="G41" s="2">
        <v>0.28699999999999998</v>
      </c>
      <c r="H41" s="2" t="str">
        <f>("10662671100419")</f>
        <v>10662671100419</v>
      </c>
      <c r="I41" s="2">
        <v>15</v>
      </c>
      <c r="J41" s="2">
        <v>480</v>
      </c>
    </row>
    <row r="42" spans="1:10">
      <c r="A42" s="2" t="s">
        <v>10</v>
      </c>
      <c r="B42" s="2" t="str">
        <f>("662671107862")</f>
        <v>662671107862</v>
      </c>
      <c r="C42" s="2">
        <v>102191</v>
      </c>
      <c r="D42" s="2" t="s">
        <v>69</v>
      </c>
      <c r="E42" s="2">
        <v>407.38</v>
      </c>
      <c r="F42" s="3">
        <v>45323</v>
      </c>
      <c r="G42" s="2">
        <v>0.73499999999999999</v>
      </c>
      <c r="H42" s="2" t="str">
        <f>("10662671107869")</f>
        <v>10662671107869</v>
      </c>
      <c r="I42" s="2">
        <v>10</v>
      </c>
      <c r="J42" s="2">
        <v>180</v>
      </c>
    </row>
    <row r="43" spans="1:10">
      <c r="A43" s="2" t="s">
        <v>10</v>
      </c>
      <c r="B43" s="2" t="str">
        <f>("662671106506")</f>
        <v>662671106506</v>
      </c>
      <c r="C43" s="2">
        <v>102201</v>
      </c>
      <c r="D43" s="2" t="s">
        <v>70</v>
      </c>
      <c r="E43" s="2">
        <v>19.940000000000001</v>
      </c>
      <c r="F43" s="3">
        <v>45323</v>
      </c>
      <c r="G43" s="2">
        <v>6.3E-2</v>
      </c>
      <c r="H43" s="2" t="str">
        <f>("10662671106503")</f>
        <v>10662671106503</v>
      </c>
      <c r="I43" s="2">
        <v>50</v>
      </c>
      <c r="J43" s="2">
        <v>3600</v>
      </c>
    </row>
    <row r="44" spans="1:10">
      <c r="A44" s="2" t="s">
        <v>10</v>
      </c>
      <c r="B44" s="2" t="str">
        <f>("662671108920")</f>
        <v>662671108920</v>
      </c>
      <c r="C44" s="2">
        <v>102204</v>
      </c>
      <c r="D44" s="2" t="s">
        <v>71</v>
      </c>
      <c r="E44" s="2">
        <v>178.16</v>
      </c>
      <c r="F44" s="3">
        <v>45323</v>
      </c>
      <c r="G44" s="2">
        <v>0.51500000000000001</v>
      </c>
      <c r="H44" s="2" t="str">
        <f>("10662671108927")</f>
        <v>10662671108927</v>
      </c>
      <c r="I44" s="2">
        <v>20</v>
      </c>
      <c r="J44" s="2">
        <v>360</v>
      </c>
    </row>
    <row r="45" spans="1:10">
      <c r="A45" s="2" t="s">
        <v>10</v>
      </c>
      <c r="B45" s="2" t="str">
        <f>("662671109514")</f>
        <v>662671109514</v>
      </c>
      <c r="C45" s="2">
        <v>102221</v>
      </c>
      <c r="D45" s="2" t="s">
        <v>72</v>
      </c>
      <c r="E45" s="2">
        <v>41.35</v>
      </c>
      <c r="F45" s="3">
        <v>45323</v>
      </c>
      <c r="G45" s="2">
        <v>9.9000000000000005E-2</v>
      </c>
      <c r="H45" s="2" t="str">
        <f>("10662671109511")</f>
        <v>10662671109511</v>
      </c>
      <c r="I45" s="2">
        <v>50</v>
      </c>
      <c r="J45" s="2">
        <v>2400</v>
      </c>
    </row>
    <row r="46" spans="1:10">
      <c r="A46" s="2" t="s">
        <v>10</v>
      </c>
      <c r="B46" s="2" t="str">
        <f>("662671100429")</f>
        <v>662671100429</v>
      </c>
      <c r="C46" s="2">
        <v>102223</v>
      </c>
      <c r="D46" s="2" t="s">
        <v>73</v>
      </c>
      <c r="E46" s="2">
        <v>248.67</v>
      </c>
      <c r="F46" s="3">
        <v>45323</v>
      </c>
      <c r="G46" s="2">
        <v>0.44700000000000001</v>
      </c>
      <c r="H46" s="2" t="str">
        <f>("10662671100426")</f>
        <v>10662671100426</v>
      </c>
      <c r="I46" s="2">
        <v>20</v>
      </c>
      <c r="J46" s="2">
        <v>360</v>
      </c>
    </row>
    <row r="47" spans="1:10">
      <c r="A47" s="2" t="s">
        <v>10</v>
      </c>
      <c r="B47" s="2" t="str">
        <f>("662671100436")</f>
        <v>662671100436</v>
      </c>
      <c r="C47" s="2">
        <v>102250</v>
      </c>
      <c r="D47" s="2" t="s">
        <v>74</v>
      </c>
      <c r="E47" s="2">
        <v>45.32</v>
      </c>
      <c r="F47" s="3">
        <v>45323</v>
      </c>
      <c r="G47" s="2">
        <v>5.2999999999999999E-2</v>
      </c>
      <c r="H47" s="2" t="str">
        <f>("10662671100433")</f>
        <v>10662671100433</v>
      </c>
      <c r="I47" s="2">
        <v>75</v>
      </c>
      <c r="J47" s="2">
        <v>5400</v>
      </c>
    </row>
    <row r="48" spans="1:10">
      <c r="A48" s="2" t="s">
        <v>10</v>
      </c>
      <c r="B48" s="2" t="str">
        <f>("662671100443")</f>
        <v>662671100443</v>
      </c>
      <c r="C48" s="2">
        <v>102251</v>
      </c>
      <c r="D48" s="2" t="s">
        <v>75</v>
      </c>
      <c r="E48" s="2">
        <v>19.940000000000001</v>
      </c>
      <c r="F48" s="3">
        <v>45323</v>
      </c>
      <c r="G48" s="2">
        <v>6.0999999999999999E-2</v>
      </c>
      <c r="H48" s="2" t="str">
        <f>("10662671100440")</f>
        <v>10662671100440</v>
      </c>
      <c r="I48" s="2">
        <v>125</v>
      </c>
      <c r="J48" s="2">
        <v>4000</v>
      </c>
    </row>
    <row r="49" spans="1:10">
      <c r="A49" s="2" t="s">
        <v>10</v>
      </c>
      <c r="B49" s="2" t="str">
        <f>("662671100467")</f>
        <v>662671100467</v>
      </c>
      <c r="C49" s="2" t="s">
        <v>76</v>
      </c>
      <c r="D49" s="2" t="s">
        <v>77</v>
      </c>
      <c r="E49" s="2">
        <v>25.75</v>
      </c>
      <c r="F49" s="3">
        <v>45323</v>
      </c>
      <c r="G49" s="2">
        <v>6.4000000000000001E-2</v>
      </c>
      <c r="H49" s="2" t="str">
        <f>("10662671100464")</f>
        <v>10662671100464</v>
      </c>
      <c r="I49" s="2">
        <v>110</v>
      </c>
      <c r="J49" s="2">
        <v>3520</v>
      </c>
    </row>
    <row r="50" spans="1:10">
      <c r="A50" s="2" t="s">
        <v>10</v>
      </c>
      <c r="B50" s="2" t="str">
        <f>("662671100474")</f>
        <v>662671100474</v>
      </c>
      <c r="C50" s="2">
        <v>102252</v>
      </c>
      <c r="D50" s="2" t="s">
        <v>78</v>
      </c>
      <c r="E50" s="2">
        <v>31.73</v>
      </c>
      <c r="F50" s="3">
        <v>45323</v>
      </c>
      <c r="G50" s="2">
        <v>8.3000000000000004E-2</v>
      </c>
      <c r="H50" s="2" t="str">
        <f>("10662671100471")</f>
        <v>10662671100471</v>
      </c>
      <c r="I50" s="2">
        <v>50</v>
      </c>
      <c r="J50" s="2">
        <v>2400</v>
      </c>
    </row>
    <row r="51" spans="1:10">
      <c r="A51" s="2" t="s">
        <v>10</v>
      </c>
      <c r="B51" s="2" t="str">
        <f>("662671103369")</f>
        <v>662671103369</v>
      </c>
      <c r="C51" s="2" t="s">
        <v>79</v>
      </c>
      <c r="D51" s="2" t="s">
        <v>80</v>
      </c>
      <c r="E51" s="2">
        <v>35.32</v>
      </c>
      <c r="F51" s="3">
        <v>45323</v>
      </c>
      <c r="G51" s="2">
        <v>0.10100000000000001</v>
      </c>
      <c r="H51" s="2" t="str">
        <f>("10662671103366")</f>
        <v>10662671103366</v>
      </c>
      <c r="I51" s="2">
        <v>50</v>
      </c>
      <c r="J51" s="2">
        <v>1600</v>
      </c>
    </row>
    <row r="52" spans="1:10">
      <c r="A52" s="2" t="s">
        <v>10</v>
      </c>
      <c r="B52" s="2" t="str">
        <f>("662671100481")</f>
        <v>662671100481</v>
      </c>
      <c r="C52" s="2">
        <v>102253</v>
      </c>
      <c r="D52" s="2" t="s">
        <v>81</v>
      </c>
      <c r="E52" s="2">
        <v>85.62</v>
      </c>
      <c r="F52" s="3">
        <v>45323</v>
      </c>
      <c r="G52" s="2">
        <v>0.27500000000000002</v>
      </c>
      <c r="H52" s="2" t="str">
        <f>("10662671100488")</f>
        <v>10662671100488</v>
      </c>
      <c r="I52" s="2">
        <v>20</v>
      </c>
      <c r="J52" s="2">
        <v>640</v>
      </c>
    </row>
    <row r="53" spans="1:10">
      <c r="A53" s="2" t="s">
        <v>10</v>
      </c>
      <c r="B53" s="2" t="str">
        <f>("662671100504")</f>
        <v>662671100504</v>
      </c>
      <c r="C53" s="2" t="s">
        <v>82</v>
      </c>
      <c r="D53" s="2" t="s">
        <v>83</v>
      </c>
      <c r="E53" s="2">
        <v>89.67</v>
      </c>
      <c r="F53" s="3">
        <v>45323</v>
      </c>
      <c r="G53" s="2">
        <v>0.32800000000000001</v>
      </c>
      <c r="H53" s="2" t="str">
        <f>("10662671100501")</f>
        <v>10662671100501</v>
      </c>
      <c r="I53" s="2">
        <v>15</v>
      </c>
      <c r="J53" s="2">
        <v>480</v>
      </c>
    </row>
    <row r="54" spans="1:10">
      <c r="A54" s="2" t="s">
        <v>10</v>
      </c>
      <c r="B54" s="2" t="str">
        <f>("662671100511")</f>
        <v>662671100511</v>
      </c>
      <c r="C54" s="2">
        <v>102254</v>
      </c>
      <c r="D54" s="2" t="s">
        <v>84</v>
      </c>
      <c r="E54" s="2">
        <v>181.93</v>
      </c>
      <c r="F54" s="3">
        <v>45323</v>
      </c>
      <c r="G54" s="2">
        <v>0.52400000000000002</v>
      </c>
      <c r="H54" s="2" t="str">
        <f>("10662671100518")</f>
        <v>10662671100518</v>
      </c>
      <c r="I54" s="2">
        <v>20</v>
      </c>
      <c r="J54" s="2">
        <v>360</v>
      </c>
    </row>
    <row r="55" spans="1:10">
      <c r="A55" s="2" t="s">
        <v>10</v>
      </c>
      <c r="B55" s="2" t="str">
        <f>("662671100535")</f>
        <v>662671100535</v>
      </c>
      <c r="C55" s="2" t="s">
        <v>85</v>
      </c>
      <c r="D55" s="2" t="s">
        <v>86</v>
      </c>
      <c r="E55" s="2">
        <v>216.77</v>
      </c>
      <c r="F55" s="3">
        <v>45323</v>
      </c>
      <c r="G55" s="2">
        <v>0.60499999999999998</v>
      </c>
      <c r="H55" s="2" t="str">
        <f>("10662671100532")</f>
        <v>10662671100532</v>
      </c>
      <c r="I55" s="2">
        <v>15</v>
      </c>
      <c r="J55" s="2">
        <v>270</v>
      </c>
    </row>
    <row r="56" spans="1:10">
      <c r="A56" s="2" t="s">
        <v>10</v>
      </c>
      <c r="B56" s="2" t="str">
        <f>("662671100542")</f>
        <v>662671100542</v>
      </c>
      <c r="C56" s="2">
        <v>102256</v>
      </c>
      <c r="D56" s="2" t="s">
        <v>87</v>
      </c>
      <c r="E56" s="2">
        <v>910.81</v>
      </c>
      <c r="F56" s="3">
        <v>45323</v>
      </c>
      <c r="G56" s="2">
        <v>1.6639999999999999</v>
      </c>
      <c r="H56" s="2" t="str">
        <f>("10662671100549")</f>
        <v>10662671100549</v>
      </c>
      <c r="I56" s="2">
        <v>4</v>
      </c>
      <c r="J56" s="2">
        <v>72</v>
      </c>
    </row>
    <row r="57" spans="1:10">
      <c r="A57" s="2" t="s">
        <v>10</v>
      </c>
      <c r="B57" s="2" t="str">
        <f>("662671075048")</f>
        <v>662671075048</v>
      </c>
      <c r="C57" s="2" t="s">
        <v>88</v>
      </c>
      <c r="D57" s="2" t="s">
        <v>89</v>
      </c>
      <c r="E57" s="2">
        <v>16.79</v>
      </c>
      <c r="F57" s="3">
        <v>45323</v>
      </c>
      <c r="G57" s="2">
        <v>2.5999999999999999E-2</v>
      </c>
      <c r="H57" s="2" t="str">
        <f>("10662671075045")</f>
        <v>10662671075045</v>
      </c>
      <c r="I57" s="2">
        <v>125</v>
      </c>
      <c r="J57" s="2">
        <v>9000</v>
      </c>
    </row>
    <row r="58" spans="1:10">
      <c r="A58" s="2" t="s">
        <v>10</v>
      </c>
      <c r="B58" s="2" t="str">
        <f>("662671107893")</f>
        <v>662671107893</v>
      </c>
      <c r="C58" s="2">
        <v>102261</v>
      </c>
      <c r="D58" s="2" t="s">
        <v>90</v>
      </c>
      <c r="E58" s="2">
        <v>179.76</v>
      </c>
      <c r="F58" s="3">
        <v>45323</v>
      </c>
      <c r="G58" s="2">
        <v>0.1</v>
      </c>
      <c r="H58" s="2" t="str">
        <f>("10662671107890")</f>
        <v>10662671107890</v>
      </c>
      <c r="I58" s="2">
        <v>70</v>
      </c>
      <c r="J58" s="2">
        <v>2240</v>
      </c>
    </row>
    <row r="59" spans="1:10">
      <c r="A59" s="2" t="s">
        <v>10</v>
      </c>
      <c r="B59" s="2" t="str">
        <f>("662671107909")</f>
        <v>662671107909</v>
      </c>
      <c r="C59" s="2">
        <v>102262</v>
      </c>
      <c r="D59" s="2" t="s">
        <v>91</v>
      </c>
      <c r="E59" s="2">
        <v>285.88</v>
      </c>
      <c r="F59" s="3">
        <v>45323</v>
      </c>
      <c r="G59" s="2">
        <v>0.16200000000000001</v>
      </c>
      <c r="H59" s="2" t="str">
        <f>("30662671107900")</f>
        <v>30662671107900</v>
      </c>
      <c r="I59" s="2">
        <v>30</v>
      </c>
      <c r="J59" s="2">
        <v>960</v>
      </c>
    </row>
    <row r="60" spans="1:10">
      <c r="A60" s="2" t="s">
        <v>10</v>
      </c>
      <c r="B60" s="2" t="str">
        <f>("662671107916")</f>
        <v>662671107916</v>
      </c>
      <c r="C60" s="2">
        <v>102263</v>
      </c>
      <c r="D60" s="2" t="s">
        <v>92</v>
      </c>
      <c r="E60" s="2">
        <v>411.88</v>
      </c>
      <c r="F60" s="3">
        <v>45323</v>
      </c>
      <c r="G60" s="2">
        <v>0.50700000000000001</v>
      </c>
      <c r="H60" s="2" t="str">
        <f>("10662671107913")</f>
        <v>10662671107913</v>
      </c>
      <c r="I60" s="2">
        <v>10</v>
      </c>
      <c r="J60" s="2">
        <v>320</v>
      </c>
    </row>
    <row r="61" spans="1:10">
      <c r="A61" s="2" t="s">
        <v>10</v>
      </c>
      <c r="B61" s="2" t="str">
        <f>("662671100559")</f>
        <v>662671100559</v>
      </c>
      <c r="C61" s="2">
        <v>102276</v>
      </c>
      <c r="D61" s="2" t="s">
        <v>93</v>
      </c>
      <c r="E61" s="2">
        <v>56.84</v>
      </c>
      <c r="F61" s="3">
        <v>45323</v>
      </c>
      <c r="G61" s="2">
        <v>9.4E-2</v>
      </c>
      <c r="H61" s="2" t="str">
        <f>("10662671100556")</f>
        <v>10662671100556</v>
      </c>
      <c r="I61" s="2">
        <v>50</v>
      </c>
      <c r="J61" s="2">
        <v>2400</v>
      </c>
    </row>
    <row r="62" spans="1:10">
      <c r="A62" s="2" t="s">
        <v>10</v>
      </c>
      <c r="B62" s="2" t="str">
        <f>("662671100566")</f>
        <v>662671100566</v>
      </c>
      <c r="C62" s="2">
        <v>102277</v>
      </c>
      <c r="D62" s="2" t="s">
        <v>94</v>
      </c>
      <c r="E62" s="2">
        <v>99.14</v>
      </c>
      <c r="F62" s="3">
        <v>45323</v>
      </c>
      <c r="G62" s="2">
        <v>0.13500000000000001</v>
      </c>
      <c r="H62" s="2" t="str">
        <f>("10662671100563")</f>
        <v>10662671100563</v>
      </c>
      <c r="I62" s="2">
        <v>25</v>
      </c>
      <c r="J62" s="2">
        <v>1200</v>
      </c>
    </row>
    <row r="63" spans="1:10">
      <c r="A63" s="2" t="s">
        <v>10</v>
      </c>
      <c r="B63" s="2" t="str">
        <f>("662671100573")</f>
        <v>662671100573</v>
      </c>
      <c r="C63" s="2">
        <v>102278</v>
      </c>
      <c r="D63" s="2" t="s">
        <v>95</v>
      </c>
      <c r="E63" s="2">
        <v>222.54</v>
      </c>
      <c r="F63" s="3">
        <v>45323</v>
      </c>
      <c r="G63" s="2">
        <v>0.376</v>
      </c>
      <c r="H63" s="2" t="str">
        <f>("10662671100570")</f>
        <v>10662671100570</v>
      </c>
      <c r="I63" s="2">
        <v>10</v>
      </c>
      <c r="J63" s="2">
        <v>480</v>
      </c>
    </row>
    <row r="64" spans="1:10">
      <c r="A64" s="2" t="s">
        <v>10</v>
      </c>
      <c r="B64" s="2" t="str">
        <f>("662671107152")</f>
        <v>662671107152</v>
      </c>
      <c r="C64" s="2">
        <v>102279</v>
      </c>
      <c r="D64" s="2" t="s">
        <v>96</v>
      </c>
      <c r="E64" s="2">
        <v>407.82</v>
      </c>
      <c r="F64" s="3">
        <v>45323</v>
      </c>
      <c r="G64" s="2">
        <v>0.746</v>
      </c>
      <c r="H64" s="2" t="str">
        <f>("10662671107159")</f>
        <v>10662671107159</v>
      </c>
      <c r="I64" s="2">
        <v>12</v>
      </c>
      <c r="J64" s="2">
        <v>216</v>
      </c>
    </row>
    <row r="65" spans="1:10">
      <c r="A65" s="2" t="s">
        <v>10</v>
      </c>
      <c r="B65" s="2" t="str">
        <f>("662671100603")</f>
        <v>662671100603</v>
      </c>
      <c r="C65" s="2">
        <v>102300</v>
      </c>
      <c r="D65" s="2" t="s">
        <v>97</v>
      </c>
      <c r="E65" s="2">
        <v>79.209999999999994</v>
      </c>
      <c r="F65" s="3">
        <v>45323</v>
      </c>
      <c r="G65" s="2">
        <v>8.6999999999999994E-2</v>
      </c>
      <c r="H65" s="2" t="str">
        <f>("10662671100600")</f>
        <v>10662671100600</v>
      </c>
      <c r="I65" s="2">
        <v>50</v>
      </c>
      <c r="J65" s="2">
        <v>2400</v>
      </c>
    </row>
    <row r="66" spans="1:10">
      <c r="A66" s="2" t="s">
        <v>10</v>
      </c>
      <c r="B66" s="2" t="str">
        <f>("662671100610")</f>
        <v>662671100610</v>
      </c>
      <c r="C66" s="2">
        <v>102301</v>
      </c>
      <c r="D66" s="2" t="s">
        <v>98</v>
      </c>
      <c r="E66" s="2">
        <v>35.32</v>
      </c>
      <c r="F66" s="3">
        <v>45323</v>
      </c>
      <c r="G66" s="2">
        <v>0.108</v>
      </c>
      <c r="H66" s="2" t="str">
        <f>("10662671100617")</f>
        <v>10662671100617</v>
      </c>
      <c r="I66" s="2">
        <v>70</v>
      </c>
      <c r="J66" s="2">
        <v>2240</v>
      </c>
    </row>
    <row r="67" spans="1:10">
      <c r="A67" s="2" t="s">
        <v>10</v>
      </c>
      <c r="B67" s="2" t="str">
        <f>("662671100634")</f>
        <v>662671100634</v>
      </c>
      <c r="C67" s="2">
        <v>102302</v>
      </c>
      <c r="D67" s="2" t="s">
        <v>99</v>
      </c>
      <c r="E67" s="2">
        <v>66.72</v>
      </c>
      <c r="F67" s="3">
        <v>45323</v>
      </c>
      <c r="G67" s="2">
        <v>0.129</v>
      </c>
      <c r="H67" s="2" t="str">
        <f>("10662671100631")</f>
        <v>10662671100631</v>
      </c>
      <c r="I67" s="2">
        <v>40</v>
      </c>
      <c r="J67" s="2">
        <v>1280</v>
      </c>
    </row>
    <row r="68" spans="1:10">
      <c r="A68" s="2" t="s">
        <v>10</v>
      </c>
      <c r="B68" s="2" t="str">
        <f>("662671100658")</f>
        <v>662671100658</v>
      </c>
      <c r="C68" s="2">
        <v>102303</v>
      </c>
      <c r="D68" s="2" t="s">
        <v>100</v>
      </c>
      <c r="E68" s="2">
        <v>132.91999999999999</v>
      </c>
      <c r="F68" s="3">
        <v>45323</v>
      </c>
      <c r="G68" s="2">
        <v>0.44900000000000001</v>
      </c>
      <c r="H68" s="2" t="str">
        <f>("10662671100655")</f>
        <v>10662671100655</v>
      </c>
      <c r="I68" s="2">
        <v>20</v>
      </c>
      <c r="J68" s="2">
        <v>360</v>
      </c>
    </row>
    <row r="69" spans="1:10">
      <c r="A69" s="2" t="s">
        <v>10</v>
      </c>
      <c r="B69" s="2" t="str">
        <f>("662671100672")</f>
        <v>662671100672</v>
      </c>
      <c r="C69" s="2">
        <v>102304</v>
      </c>
      <c r="D69" s="2" t="s">
        <v>101</v>
      </c>
      <c r="E69" s="2">
        <v>286.39999999999998</v>
      </c>
      <c r="F69" s="3">
        <v>45323</v>
      </c>
      <c r="G69" s="2">
        <v>0.86299999999999999</v>
      </c>
      <c r="H69" s="2" t="str">
        <f>("10662671100679")</f>
        <v>10662671100679</v>
      </c>
      <c r="I69" s="2">
        <v>12</v>
      </c>
      <c r="J69" s="2">
        <v>216</v>
      </c>
    </row>
    <row r="70" spans="1:10">
      <c r="A70" s="2" t="s">
        <v>10</v>
      </c>
      <c r="B70" s="2" t="str">
        <f>("662671100696")</f>
        <v>662671100696</v>
      </c>
      <c r="C70" s="2">
        <v>102306</v>
      </c>
      <c r="D70" s="2" t="s">
        <v>102</v>
      </c>
      <c r="E70" s="2">
        <v>1299.27</v>
      </c>
      <c r="F70" s="3">
        <v>45323</v>
      </c>
      <c r="G70" s="2">
        <v>2.4540000000000002</v>
      </c>
      <c r="H70" s="2" t="str">
        <f>("10662671100693")</f>
        <v>10662671100693</v>
      </c>
      <c r="I70" s="2">
        <v>2</v>
      </c>
      <c r="J70" s="2">
        <v>36</v>
      </c>
    </row>
    <row r="71" spans="1:10">
      <c r="A71" s="2" t="s">
        <v>10</v>
      </c>
      <c r="B71" s="2" t="str">
        <f>("662671100702")</f>
        <v>662671100702</v>
      </c>
      <c r="C71" s="2">
        <v>102323</v>
      </c>
      <c r="D71" s="2" t="s">
        <v>103</v>
      </c>
      <c r="E71" s="2">
        <v>50.33</v>
      </c>
      <c r="F71" s="3">
        <v>45323</v>
      </c>
      <c r="G71" s="2">
        <v>9.5000000000000001E-2</v>
      </c>
      <c r="H71" s="2" t="str">
        <f>("10662671100709")</f>
        <v>10662671100709</v>
      </c>
      <c r="I71" s="2">
        <v>30</v>
      </c>
      <c r="J71" s="2">
        <v>2160</v>
      </c>
    </row>
    <row r="72" spans="1:10">
      <c r="A72" s="2" t="s">
        <v>10</v>
      </c>
      <c r="B72" s="2" t="str">
        <f>("662671100719")</f>
        <v>662671100719</v>
      </c>
      <c r="C72" s="2">
        <v>102324</v>
      </c>
      <c r="D72" s="2" t="s">
        <v>104</v>
      </c>
      <c r="E72" s="2">
        <v>77.75</v>
      </c>
      <c r="F72" s="3">
        <v>45323</v>
      </c>
      <c r="G72" s="2">
        <v>0.16500000000000001</v>
      </c>
      <c r="H72" s="2" t="str">
        <f>("10662671100716")</f>
        <v>10662671100716</v>
      </c>
      <c r="I72" s="2">
        <v>25</v>
      </c>
      <c r="J72" s="2">
        <v>1200</v>
      </c>
    </row>
    <row r="73" spans="1:10">
      <c r="A73" s="2" t="s">
        <v>10</v>
      </c>
      <c r="B73" s="2" t="str">
        <f>("662671100726")</f>
        <v>662671100726</v>
      </c>
      <c r="C73" s="2">
        <v>102325</v>
      </c>
      <c r="D73" s="2" t="s">
        <v>105</v>
      </c>
      <c r="E73" s="2">
        <v>62.89</v>
      </c>
      <c r="F73" s="3">
        <v>45323</v>
      </c>
      <c r="G73" s="2">
        <v>0.105</v>
      </c>
      <c r="H73" s="2" t="str">
        <f>("10662671100723")</f>
        <v>10662671100723</v>
      </c>
      <c r="I73" s="2">
        <v>30</v>
      </c>
      <c r="J73" s="2">
        <v>1440</v>
      </c>
    </row>
    <row r="74" spans="1:10">
      <c r="A74" s="2" t="s">
        <v>10</v>
      </c>
      <c r="B74" s="2" t="str">
        <f>("662671100733")</f>
        <v>662671100733</v>
      </c>
      <c r="C74" s="2">
        <v>102326</v>
      </c>
      <c r="D74" s="2" t="s">
        <v>106</v>
      </c>
      <c r="E74" s="2">
        <v>104.17</v>
      </c>
      <c r="F74" s="3">
        <v>45323</v>
      </c>
      <c r="G74" s="2">
        <v>0.30099999999999999</v>
      </c>
      <c r="H74" s="2" t="str">
        <f>("10662671100730")</f>
        <v>10662671100730</v>
      </c>
      <c r="I74" s="2">
        <v>20</v>
      </c>
      <c r="J74" s="2">
        <v>640</v>
      </c>
    </row>
    <row r="75" spans="1:10">
      <c r="A75" s="2" t="s">
        <v>10</v>
      </c>
      <c r="B75" s="2" t="str">
        <f>("662671100740")</f>
        <v>662671100740</v>
      </c>
      <c r="C75" s="2">
        <v>102327</v>
      </c>
      <c r="D75" s="2" t="s">
        <v>107</v>
      </c>
      <c r="E75" s="2">
        <v>259.58999999999997</v>
      </c>
      <c r="F75" s="3">
        <v>45323</v>
      </c>
      <c r="G75" s="2">
        <v>0.67600000000000005</v>
      </c>
      <c r="H75" s="2" t="str">
        <f>("10662671100747")</f>
        <v>10662671100747</v>
      </c>
      <c r="I75" s="2">
        <v>15</v>
      </c>
      <c r="J75" s="2">
        <v>270</v>
      </c>
    </row>
    <row r="76" spans="1:10">
      <c r="A76" s="2" t="s">
        <v>10</v>
      </c>
      <c r="B76" s="2" t="str">
        <f>("662671100764")</f>
        <v>662671100764</v>
      </c>
      <c r="C76" s="2">
        <v>102328</v>
      </c>
      <c r="D76" s="2" t="s">
        <v>108</v>
      </c>
      <c r="E76" s="2">
        <v>206.79</v>
      </c>
      <c r="F76" s="3">
        <v>45323</v>
      </c>
      <c r="G76" s="2">
        <v>0.48</v>
      </c>
      <c r="H76" s="2" t="str">
        <f>("10662671100761")</f>
        <v>10662671100761</v>
      </c>
      <c r="I76" s="2">
        <v>20</v>
      </c>
      <c r="J76" s="2">
        <v>360</v>
      </c>
    </row>
    <row r="77" spans="1:10">
      <c r="A77" s="2" t="s">
        <v>10</v>
      </c>
      <c r="B77" s="2" t="str">
        <f>("662671109385")</f>
        <v>662671109385</v>
      </c>
      <c r="C77" s="2">
        <v>102329</v>
      </c>
      <c r="D77" s="2" t="s">
        <v>109</v>
      </c>
      <c r="E77" s="2">
        <v>206.79</v>
      </c>
      <c r="F77" s="3">
        <v>45323</v>
      </c>
      <c r="G77" s="2">
        <v>0.45800000000000002</v>
      </c>
      <c r="H77" s="2" t="str">
        <f>("10662671109382")</f>
        <v>10662671109382</v>
      </c>
      <c r="I77" s="2">
        <v>8</v>
      </c>
      <c r="J77" s="2">
        <v>384</v>
      </c>
    </row>
    <row r="78" spans="1:10">
      <c r="A78" s="2" t="s">
        <v>10</v>
      </c>
      <c r="B78" s="2" t="str">
        <f>("662671100788")</f>
        <v>662671100788</v>
      </c>
      <c r="C78" s="2">
        <v>102331</v>
      </c>
      <c r="D78" s="2" t="s">
        <v>110</v>
      </c>
      <c r="E78" s="2">
        <v>93.93</v>
      </c>
      <c r="F78" s="3">
        <v>45323</v>
      </c>
      <c r="G78" s="2">
        <v>0.26600000000000001</v>
      </c>
      <c r="H78" s="2" t="str">
        <f>("10662671100785")</f>
        <v>10662671100785</v>
      </c>
      <c r="I78" s="2">
        <v>20</v>
      </c>
      <c r="J78" s="2">
        <v>640</v>
      </c>
    </row>
    <row r="79" spans="1:10">
      <c r="A79" s="2" t="s">
        <v>10</v>
      </c>
      <c r="B79" s="2" t="str">
        <f>("662671109354")</f>
        <v>662671109354</v>
      </c>
      <c r="C79" s="2">
        <v>102343</v>
      </c>
      <c r="D79" s="2" t="s">
        <v>111</v>
      </c>
      <c r="E79" s="2">
        <v>856.4</v>
      </c>
      <c r="F79" s="3">
        <v>45323</v>
      </c>
      <c r="G79" s="2">
        <v>1.67</v>
      </c>
      <c r="H79" s="2" t="str">
        <f>("10662671109351")</f>
        <v>10662671109351</v>
      </c>
      <c r="I79" s="2">
        <v>4</v>
      </c>
      <c r="J79" s="2">
        <v>72</v>
      </c>
    </row>
    <row r="80" spans="1:10">
      <c r="A80" s="2" t="s">
        <v>10</v>
      </c>
      <c r="B80" s="2" t="str">
        <f>("662671100801")</f>
        <v>662671100801</v>
      </c>
      <c r="C80" s="2">
        <v>102344</v>
      </c>
      <c r="D80" s="2" t="s">
        <v>112</v>
      </c>
      <c r="E80" s="2">
        <v>997.8</v>
      </c>
      <c r="F80" s="3">
        <v>45323</v>
      </c>
      <c r="G80" s="2">
        <v>1.661</v>
      </c>
      <c r="H80" s="2" t="str">
        <f>("10662671100808")</f>
        <v>10662671100808</v>
      </c>
      <c r="I80" s="2">
        <v>4</v>
      </c>
      <c r="J80" s="2">
        <v>72</v>
      </c>
    </row>
    <row r="81" spans="1:10">
      <c r="A81" s="2" t="s">
        <v>10</v>
      </c>
      <c r="B81" s="2" t="str">
        <f>("662671100818")</f>
        <v>662671100818</v>
      </c>
      <c r="C81" s="2">
        <v>102351</v>
      </c>
      <c r="D81" s="2" t="s">
        <v>113</v>
      </c>
      <c r="E81" s="2">
        <v>103.93</v>
      </c>
      <c r="F81" s="3">
        <v>45323</v>
      </c>
      <c r="G81" s="2">
        <v>0.161</v>
      </c>
      <c r="H81" s="2" t="str">
        <f>("10662671100815")</f>
        <v>10662671100815</v>
      </c>
      <c r="I81" s="2">
        <v>30</v>
      </c>
      <c r="J81" s="2">
        <v>960</v>
      </c>
    </row>
    <row r="82" spans="1:10">
      <c r="A82" s="2" t="s">
        <v>10</v>
      </c>
      <c r="B82" s="2" t="str">
        <f>("662671100825")</f>
        <v>662671100825</v>
      </c>
      <c r="C82" s="2">
        <v>102352</v>
      </c>
      <c r="D82" s="2" t="s">
        <v>114</v>
      </c>
      <c r="E82" s="2">
        <v>167.2</v>
      </c>
      <c r="F82" s="3">
        <v>45323</v>
      </c>
      <c r="G82" s="2">
        <v>0.24199999999999999</v>
      </c>
      <c r="H82" s="2" t="str">
        <f>("10662671100822")</f>
        <v>10662671100822</v>
      </c>
      <c r="I82" s="2">
        <v>20</v>
      </c>
      <c r="J82" s="2">
        <v>640</v>
      </c>
    </row>
    <row r="83" spans="1:10">
      <c r="A83" s="2" t="s">
        <v>10</v>
      </c>
      <c r="B83" s="2" t="str">
        <f>("662671100832")</f>
        <v>662671100832</v>
      </c>
      <c r="C83" s="2">
        <v>102353</v>
      </c>
      <c r="D83" s="2" t="s">
        <v>115</v>
      </c>
      <c r="E83" s="2">
        <v>302.35000000000002</v>
      </c>
      <c r="F83" s="3">
        <v>45323</v>
      </c>
      <c r="G83" s="2">
        <v>0.63200000000000001</v>
      </c>
      <c r="H83" s="2" t="str">
        <f>("10662671100839")</f>
        <v>10662671100839</v>
      </c>
      <c r="I83" s="2">
        <v>15</v>
      </c>
      <c r="J83" s="2">
        <v>270</v>
      </c>
    </row>
    <row r="84" spans="1:10">
      <c r="A84" s="2" t="s">
        <v>10</v>
      </c>
      <c r="B84" s="2" t="str">
        <f>("662671100849")</f>
        <v>662671100849</v>
      </c>
      <c r="C84" s="2">
        <v>102354</v>
      </c>
      <c r="D84" s="2" t="s">
        <v>116</v>
      </c>
      <c r="E84" s="2">
        <v>855.71</v>
      </c>
      <c r="F84" s="3">
        <v>45323</v>
      </c>
      <c r="G84" s="2">
        <v>1.27</v>
      </c>
      <c r="H84" s="2" t="str">
        <f>("10662671100846")</f>
        <v>10662671100846</v>
      </c>
      <c r="I84" s="2">
        <v>5</v>
      </c>
      <c r="J84" s="2">
        <v>90</v>
      </c>
    </row>
    <row r="85" spans="1:10">
      <c r="A85" s="2" t="s">
        <v>10</v>
      </c>
      <c r="B85" s="2" t="str">
        <f>("662671100856")</f>
        <v>662671100856</v>
      </c>
      <c r="C85" s="2">
        <v>102374</v>
      </c>
      <c r="D85" s="2" t="s">
        <v>117</v>
      </c>
      <c r="E85" s="2">
        <v>142.72</v>
      </c>
      <c r="F85" s="3">
        <v>45323</v>
      </c>
      <c r="G85" s="2">
        <v>0.20799999999999999</v>
      </c>
      <c r="H85" s="2" t="str">
        <f>("10662671100853")</f>
        <v>10662671100853</v>
      </c>
      <c r="I85" s="2">
        <v>25</v>
      </c>
      <c r="J85" s="2">
        <v>800</v>
      </c>
    </row>
    <row r="86" spans="1:10">
      <c r="A86" s="2" t="s">
        <v>10</v>
      </c>
      <c r="B86" s="2" t="str">
        <f>("662671100863")</f>
        <v>662671100863</v>
      </c>
      <c r="C86" s="2">
        <v>102376</v>
      </c>
      <c r="D86" s="2" t="s">
        <v>118</v>
      </c>
      <c r="E86" s="2">
        <v>251.85</v>
      </c>
      <c r="F86" s="3">
        <v>45323</v>
      </c>
      <c r="G86" s="2">
        <v>0.40699999999999997</v>
      </c>
      <c r="H86" s="2" t="str">
        <f>("10662671100860")</f>
        <v>10662671100860</v>
      </c>
      <c r="I86" s="2">
        <v>10</v>
      </c>
      <c r="J86" s="2">
        <v>320</v>
      </c>
    </row>
    <row r="87" spans="1:10">
      <c r="A87" s="2" t="s">
        <v>10</v>
      </c>
      <c r="B87" s="2" t="str">
        <f>("662671100870")</f>
        <v>662671100870</v>
      </c>
      <c r="C87" s="2">
        <v>102377</v>
      </c>
      <c r="D87" s="2" t="s">
        <v>119</v>
      </c>
      <c r="E87" s="2">
        <v>255.61</v>
      </c>
      <c r="F87" s="3">
        <v>45323</v>
      </c>
      <c r="G87" s="2">
        <v>0.438</v>
      </c>
      <c r="H87" s="2" t="str">
        <f>("10662671100877")</f>
        <v>10662671100877</v>
      </c>
      <c r="I87" s="2">
        <v>15</v>
      </c>
      <c r="J87" s="2">
        <v>360</v>
      </c>
    </row>
    <row r="88" spans="1:10">
      <c r="A88" s="2" t="s">
        <v>10</v>
      </c>
      <c r="B88" s="2" t="str">
        <f>("662671100887")</f>
        <v>662671100887</v>
      </c>
      <c r="C88" s="2">
        <v>102380</v>
      </c>
      <c r="D88" s="2" t="s">
        <v>120</v>
      </c>
      <c r="E88" s="2">
        <v>1021.26</v>
      </c>
      <c r="F88" s="3">
        <v>45323</v>
      </c>
      <c r="G88" s="2">
        <v>0.66700000000000004</v>
      </c>
      <c r="H88" s="2" t="str">
        <f>("10662671100884")</f>
        <v>10662671100884</v>
      </c>
      <c r="I88" s="2">
        <v>10</v>
      </c>
      <c r="J88" s="2">
        <v>180</v>
      </c>
    </row>
    <row r="89" spans="1:10">
      <c r="A89" s="2" t="s">
        <v>10</v>
      </c>
      <c r="B89" s="2" t="str">
        <f>("662671100894")</f>
        <v>662671100894</v>
      </c>
      <c r="C89" s="2">
        <v>102381</v>
      </c>
      <c r="D89" s="2" t="s">
        <v>121</v>
      </c>
      <c r="E89" s="2">
        <v>780.02</v>
      </c>
      <c r="F89" s="3">
        <v>45323</v>
      </c>
      <c r="G89" s="2">
        <v>1.069</v>
      </c>
      <c r="H89" s="2" t="str">
        <f>("10662671100891")</f>
        <v>10662671100891</v>
      </c>
      <c r="I89" s="2">
        <v>8</v>
      </c>
      <c r="J89" s="2">
        <v>144</v>
      </c>
    </row>
    <row r="90" spans="1:10">
      <c r="A90" s="2" t="s">
        <v>10</v>
      </c>
      <c r="B90" s="2" t="str">
        <f>("662671100917")</f>
        <v>662671100917</v>
      </c>
      <c r="C90" s="2">
        <v>102401</v>
      </c>
      <c r="D90" s="2" t="s">
        <v>122</v>
      </c>
      <c r="E90" s="2">
        <v>23.62</v>
      </c>
      <c r="F90" s="3">
        <v>45323</v>
      </c>
      <c r="G90" s="2">
        <v>5.6000000000000001E-2</v>
      </c>
      <c r="H90" s="2" t="str">
        <f>("10662671100914")</f>
        <v>10662671100914</v>
      </c>
      <c r="I90" s="2">
        <v>100</v>
      </c>
      <c r="J90" s="2">
        <v>4800</v>
      </c>
    </row>
    <row r="91" spans="1:10">
      <c r="A91" s="2" t="s">
        <v>10</v>
      </c>
      <c r="B91" s="2" t="str">
        <f>("662671100924")</f>
        <v>662671100924</v>
      </c>
      <c r="C91" s="2">
        <v>102402</v>
      </c>
      <c r="D91" s="2" t="s">
        <v>123</v>
      </c>
      <c r="E91" s="2">
        <v>46.69</v>
      </c>
      <c r="F91" s="3">
        <v>45323</v>
      </c>
      <c r="G91" s="2">
        <v>8.6999999999999994E-2</v>
      </c>
      <c r="H91" s="2" t="str">
        <f>("10662671100921")</f>
        <v>10662671100921</v>
      </c>
      <c r="I91" s="2">
        <v>50</v>
      </c>
      <c r="J91" s="2">
        <v>2400</v>
      </c>
    </row>
    <row r="92" spans="1:10">
      <c r="A92" s="2" t="s">
        <v>10</v>
      </c>
      <c r="B92" s="2" t="str">
        <f>("662671100931")</f>
        <v>662671100931</v>
      </c>
      <c r="C92" s="2">
        <v>102403</v>
      </c>
      <c r="D92" s="2" t="s">
        <v>124</v>
      </c>
      <c r="E92" s="2">
        <v>112.24</v>
      </c>
      <c r="F92" s="3">
        <v>45323</v>
      </c>
      <c r="G92" s="2">
        <v>0.26300000000000001</v>
      </c>
      <c r="H92" s="2" t="str">
        <f>("10662671100938")</f>
        <v>10662671100938</v>
      </c>
      <c r="I92" s="2">
        <v>20</v>
      </c>
      <c r="J92" s="2">
        <v>640</v>
      </c>
    </row>
    <row r="93" spans="1:10">
      <c r="A93" s="2" t="s">
        <v>10</v>
      </c>
      <c r="B93" s="2" t="str">
        <f>("662671100948")</f>
        <v>662671100948</v>
      </c>
      <c r="C93" s="2">
        <v>102404</v>
      </c>
      <c r="D93" s="2" t="s">
        <v>125</v>
      </c>
      <c r="E93" s="2">
        <v>254.69</v>
      </c>
      <c r="F93" s="3">
        <v>45323</v>
      </c>
      <c r="G93" s="2">
        <v>0.48899999999999999</v>
      </c>
      <c r="H93" s="2" t="str">
        <f>("10662671100945")</f>
        <v>10662671100945</v>
      </c>
      <c r="I93" s="2">
        <v>10</v>
      </c>
      <c r="J93" s="2">
        <v>320</v>
      </c>
    </row>
    <row r="94" spans="1:10">
      <c r="A94" s="2" t="s">
        <v>10</v>
      </c>
      <c r="B94" s="2" t="str">
        <f>("662671100955")</f>
        <v>662671100955</v>
      </c>
      <c r="C94" s="2">
        <v>102406</v>
      </c>
      <c r="D94" s="2" t="s">
        <v>126</v>
      </c>
      <c r="E94" s="2">
        <v>1054.0899999999999</v>
      </c>
      <c r="F94" s="3">
        <v>45323</v>
      </c>
      <c r="G94" s="2">
        <v>1.129</v>
      </c>
      <c r="H94" s="2" t="str">
        <f>("10662671100952")</f>
        <v>10662671100952</v>
      </c>
      <c r="I94" s="2">
        <v>8</v>
      </c>
      <c r="J94" s="2">
        <v>144</v>
      </c>
    </row>
    <row r="95" spans="1:10">
      <c r="A95" s="2" t="s">
        <v>10</v>
      </c>
      <c r="B95" s="2" t="str">
        <f>("662671100962")</f>
        <v>662671100962</v>
      </c>
      <c r="C95" s="2">
        <v>102420</v>
      </c>
      <c r="D95" s="2" t="s">
        <v>127</v>
      </c>
      <c r="E95" s="2">
        <v>32</v>
      </c>
      <c r="F95" s="3">
        <v>45323</v>
      </c>
      <c r="G95" s="2">
        <v>3.2000000000000001E-2</v>
      </c>
      <c r="H95" s="2" t="str">
        <f>("10662671100969")</f>
        <v>10662671100969</v>
      </c>
      <c r="I95" s="2">
        <v>100</v>
      </c>
      <c r="J95" s="2">
        <v>7200</v>
      </c>
    </row>
    <row r="96" spans="1:10">
      <c r="A96" s="2" t="s">
        <v>10</v>
      </c>
      <c r="B96" s="2" t="str">
        <f>("662671100979")</f>
        <v>662671100979</v>
      </c>
      <c r="C96" s="2">
        <v>102421</v>
      </c>
      <c r="D96" s="2" t="s">
        <v>128</v>
      </c>
      <c r="E96" s="2">
        <v>16.34</v>
      </c>
      <c r="F96" s="3">
        <v>45323</v>
      </c>
      <c r="G96" s="2">
        <v>4.1000000000000002E-2</v>
      </c>
      <c r="H96" s="2" t="str">
        <f>("10662671100976")</f>
        <v>10662671100976</v>
      </c>
      <c r="I96" s="2">
        <v>125</v>
      </c>
      <c r="J96" s="2">
        <v>6000</v>
      </c>
    </row>
    <row r="97" spans="1:10">
      <c r="A97" s="2" t="s">
        <v>10</v>
      </c>
      <c r="B97" s="2" t="str">
        <f>("662671100986")</f>
        <v>662671100986</v>
      </c>
      <c r="C97" s="2">
        <v>102422</v>
      </c>
      <c r="D97" s="2" t="s">
        <v>129</v>
      </c>
      <c r="E97" s="2">
        <v>32.57</v>
      </c>
      <c r="F97" s="3">
        <v>45323</v>
      </c>
      <c r="G97" s="2">
        <v>5.7000000000000002E-2</v>
      </c>
      <c r="H97" s="2" t="str">
        <f>("10662671100983")</f>
        <v>10662671100983</v>
      </c>
      <c r="I97" s="2">
        <v>50</v>
      </c>
      <c r="J97" s="2">
        <v>3600</v>
      </c>
    </row>
    <row r="98" spans="1:10">
      <c r="A98" s="2" t="s">
        <v>10</v>
      </c>
      <c r="B98" s="2" t="str">
        <f>("662671100993")</f>
        <v>662671100993</v>
      </c>
      <c r="C98" s="2">
        <v>102423</v>
      </c>
      <c r="D98" s="2" t="s">
        <v>130</v>
      </c>
      <c r="E98" s="2">
        <v>76.44</v>
      </c>
      <c r="F98" s="3">
        <v>45323</v>
      </c>
      <c r="G98" s="2">
        <v>0.20799999999999999</v>
      </c>
      <c r="H98" s="2" t="str">
        <f>("10662671100990")</f>
        <v>10662671100990</v>
      </c>
      <c r="I98" s="2">
        <v>25</v>
      </c>
      <c r="J98" s="2">
        <v>800</v>
      </c>
    </row>
    <row r="99" spans="1:10">
      <c r="A99" s="2" t="s">
        <v>10</v>
      </c>
      <c r="B99" s="2" t="str">
        <f>("662671101006")</f>
        <v>662671101006</v>
      </c>
      <c r="C99" s="2">
        <v>102424</v>
      </c>
      <c r="D99" s="2" t="s">
        <v>131</v>
      </c>
      <c r="E99" s="2">
        <v>210.6</v>
      </c>
      <c r="F99" s="3">
        <v>45323</v>
      </c>
      <c r="G99" s="2">
        <v>0.33700000000000002</v>
      </c>
      <c r="H99" s="2" t="str">
        <f>("10662671101003")</f>
        <v>10662671101003</v>
      </c>
      <c r="I99" s="2">
        <v>25</v>
      </c>
      <c r="J99" s="2">
        <v>450</v>
      </c>
    </row>
    <row r="100" spans="1:10">
      <c r="A100" s="2" t="s">
        <v>10</v>
      </c>
      <c r="B100" s="2" t="str">
        <f>("662671101013")</f>
        <v>662671101013</v>
      </c>
      <c r="C100" s="2">
        <v>102450</v>
      </c>
      <c r="D100" s="2" t="s">
        <v>132</v>
      </c>
      <c r="E100" s="2">
        <v>49.6</v>
      </c>
      <c r="F100" s="3">
        <v>45323</v>
      </c>
      <c r="G100" s="2">
        <v>4.9000000000000002E-2</v>
      </c>
      <c r="H100" s="2" t="str">
        <f>("10662671101010")</f>
        <v>10662671101010</v>
      </c>
      <c r="I100" s="2">
        <v>75</v>
      </c>
      <c r="J100" s="2">
        <v>5400</v>
      </c>
    </row>
    <row r="101" spans="1:10">
      <c r="A101" s="2" t="s">
        <v>10</v>
      </c>
      <c r="B101" s="2" t="str">
        <f>("662671101020")</f>
        <v>662671101020</v>
      </c>
      <c r="C101" s="2">
        <v>102451</v>
      </c>
      <c r="D101" s="2" t="s">
        <v>133</v>
      </c>
      <c r="E101" s="2">
        <v>20.84</v>
      </c>
      <c r="F101" s="3">
        <v>45323</v>
      </c>
      <c r="G101" s="2">
        <v>5.8999999999999997E-2</v>
      </c>
      <c r="H101" s="2" t="str">
        <f>("10662671101027")</f>
        <v>10662671101027</v>
      </c>
      <c r="I101" s="2">
        <v>125</v>
      </c>
      <c r="J101" s="2">
        <v>4000</v>
      </c>
    </row>
    <row r="102" spans="1:10">
      <c r="A102" s="2" t="s">
        <v>10</v>
      </c>
      <c r="B102" s="2" t="str">
        <f>("662671106926")</f>
        <v>662671106926</v>
      </c>
      <c r="C102" s="2" t="s">
        <v>134</v>
      </c>
      <c r="D102" s="2" t="s">
        <v>135</v>
      </c>
      <c r="E102" s="2">
        <v>24.78</v>
      </c>
      <c r="F102" s="3">
        <v>45323</v>
      </c>
      <c r="G102" s="2">
        <v>6.5000000000000002E-2</v>
      </c>
      <c r="H102" s="2" t="str">
        <f>("10662671106923")</f>
        <v>10662671106923</v>
      </c>
      <c r="I102" s="2">
        <v>45</v>
      </c>
      <c r="J102" s="2">
        <v>3240</v>
      </c>
    </row>
    <row r="103" spans="1:10">
      <c r="A103" s="2" t="s">
        <v>10</v>
      </c>
      <c r="B103" s="2" t="str">
        <f>("662671101044")</f>
        <v>662671101044</v>
      </c>
      <c r="C103" s="2">
        <v>102452</v>
      </c>
      <c r="D103" s="2" t="s">
        <v>136</v>
      </c>
      <c r="E103" s="2">
        <v>53</v>
      </c>
      <c r="F103" s="3">
        <v>45323</v>
      </c>
      <c r="G103" s="2">
        <v>8.2000000000000003E-2</v>
      </c>
      <c r="H103" s="2" t="str">
        <f>("10662671101041")</f>
        <v>10662671101041</v>
      </c>
      <c r="I103" s="2">
        <v>50</v>
      </c>
      <c r="J103" s="2">
        <v>2400</v>
      </c>
    </row>
    <row r="104" spans="1:10">
      <c r="A104" s="2" t="s">
        <v>10</v>
      </c>
      <c r="B104" s="2" t="str">
        <f>("662671106803")</f>
        <v>662671106803</v>
      </c>
      <c r="C104" s="2" t="s">
        <v>137</v>
      </c>
      <c r="D104" s="2" t="s">
        <v>138</v>
      </c>
      <c r="E104" s="2">
        <v>53</v>
      </c>
      <c r="F104" s="3">
        <v>45323</v>
      </c>
      <c r="G104" s="2">
        <v>0.1</v>
      </c>
      <c r="H104" s="2" t="str">
        <f>("10662671106800")</f>
        <v>10662671106800</v>
      </c>
      <c r="I104" s="2">
        <v>50</v>
      </c>
      <c r="J104" s="2">
        <v>1600</v>
      </c>
    </row>
    <row r="105" spans="1:10">
      <c r="A105" s="2" t="s">
        <v>10</v>
      </c>
      <c r="B105" s="2" t="str">
        <f>("662671101051")</f>
        <v>662671101051</v>
      </c>
      <c r="C105" s="2">
        <v>102453</v>
      </c>
      <c r="D105" s="2" t="s">
        <v>139</v>
      </c>
      <c r="E105" s="2">
        <v>95.55</v>
      </c>
      <c r="F105" s="3">
        <v>45323</v>
      </c>
      <c r="G105" s="2">
        <v>0.27100000000000002</v>
      </c>
      <c r="H105" s="2" t="str">
        <f>("10662671101058")</f>
        <v>10662671101058</v>
      </c>
      <c r="I105" s="2">
        <v>20</v>
      </c>
      <c r="J105" s="2">
        <v>640</v>
      </c>
    </row>
    <row r="106" spans="1:10">
      <c r="A106" s="2" t="s">
        <v>10</v>
      </c>
      <c r="B106" s="2" t="str">
        <f>("662671101075")</f>
        <v>662671101075</v>
      </c>
      <c r="C106" s="2" t="s">
        <v>140</v>
      </c>
      <c r="D106" s="2" t="s">
        <v>141</v>
      </c>
      <c r="E106" s="2">
        <v>113.35</v>
      </c>
      <c r="F106" s="3">
        <v>45323</v>
      </c>
      <c r="G106" s="2">
        <v>0.32700000000000001</v>
      </c>
      <c r="H106" s="2" t="str">
        <f>("10662671101072")</f>
        <v>10662671101072</v>
      </c>
      <c r="I106" s="2">
        <v>15</v>
      </c>
      <c r="J106" s="2">
        <v>480</v>
      </c>
    </row>
    <row r="107" spans="1:10">
      <c r="A107" s="2" t="s">
        <v>10</v>
      </c>
      <c r="B107" s="2" t="str">
        <f>("662671101082")</f>
        <v>662671101082</v>
      </c>
      <c r="C107" s="2">
        <v>102454</v>
      </c>
      <c r="D107" s="2" t="s">
        <v>142</v>
      </c>
      <c r="E107" s="2">
        <v>301.45999999999998</v>
      </c>
      <c r="F107" s="3">
        <v>45323</v>
      </c>
      <c r="G107" s="2">
        <v>0.505</v>
      </c>
      <c r="H107" s="2" t="str">
        <f>("10662671101089")</f>
        <v>10662671101089</v>
      </c>
      <c r="I107" s="2">
        <v>20</v>
      </c>
      <c r="J107" s="2">
        <v>360</v>
      </c>
    </row>
    <row r="108" spans="1:10">
      <c r="A108" s="2" t="s">
        <v>10</v>
      </c>
      <c r="B108" s="2" t="str">
        <f>("662671101099")</f>
        <v>662671101099</v>
      </c>
      <c r="C108" s="2" t="s">
        <v>143</v>
      </c>
      <c r="D108" s="2" t="s">
        <v>144</v>
      </c>
      <c r="E108" s="2">
        <v>301.45999999999998</v>
      </c>
      <c r="F108" s="3">
        <v>45323</v>
      </c>
      <c r="G108" s="2">
        <v>0.59099999999999997</v>
      </c>
      <c r="H108" s="2" t="str">
        <f>("10662671101096")</f>
        <v>10662671101096</v>
      </c>
      <c r="I108" s="2">
        <v>15</v>
      </c>
      <c r="J108" s="2">
        <v>270</v>
      </c>
    </row>
    <row r="109" spans="1:10">
      <c r="A109" s="2" t="s">
        <v>10</v>
      </c>
      <c r="B109" s="2" t="str">
        <f>("662671103383")</f>
        <v>662671103383</v>
      </c>
      <c r="C109" s="2">
        <v>102456</v>
      </c>
      <c r="D109" s="2" t="s">
        <v>145</v>
      </c>
      <c r="E109" s="2">
        <v>1176.8599999999999</v>
      </c>
      <c r="F109" s="3">
        <v>45323</v>
      </c>
      <c r="G109" s="2">
        <v>1.64</v>
      </c>
      <c r="H109" s="2" t="str">
        <f>("10662671103380")</f>
        <v>10662671103380</v>
      </c>
      <c r="I109" s="2">
        <v>4</v>
      </c>
      <c r="J109" s="2">
        <v>72</v>
      </c>
    </row>
    <row r="110" spans="1:10">
      <c r="A110" s="2" t="s">
        <v>10</v>
      </c>
      <c r="B110" s="2" t="str">
        <f>("662671101112")</f>
        <v>662671101112</v>
      </c>
      <c r="C110" s="2">
        <v>102501</v>
      </c>
      <c r="D110" s="2" t="s">
        <v>146</v>
      </c>
      <c r="E110" s="2">
        <v>27.24</v>
      </c>
      <c r="F110" s="3">
        <v>45323</v>
      </c>
      <c r="G110" s="2">
        <v>5.6000000000000001E-2</v>
      </c>
      <c r="H110" s="2" t="str">
        <f>("10662671101119")</f>
        <v>10662671101119</v>
      </c>
      <c r="I110" s="2">
        <v>100</v>
      </c>
      <c r="J110" s="2">
        <v>4800</v>
      </c>
    </row>
    <row r="111" spans="1:10">
      <c r="A111" s="2" t="s">
        <v>10</v>
      </c>
      <c r="B111" s="2" t="str">
        <f>("662671101129")</f>
        <v>662671101129</v>
      </c>
      <c r="C111" s="2">
        <v>102502</v>
      </c>
      <c r="D111" s="2" t="s">
        <v>147</v>
      </c>
      <c r="E111" s="2">
        <v>51.04</v>
      </c>
      <c r="F111" s="3">
        <v>45323</v>
      </c>
      <c r="G111" s="2">
        <v>8.6999999999999994E-2</v>
      </c>
      <c r="H111" s="2" t="str">
        <f>("10662671101126")</f>
        <v>10662671101126</v>
      </c>
      <c r="I111" s="2">
        <v>50</v>
      </c>
      <c r="J111" s="2">
        <v>2400</v>
      </c>
    </row>
    <row r="112" spans="1:10">
      <c r="A112" s="2" t="s">
        <v>10</v>
      </c>
      <c r="B112" s="2" t="str">
        <f>("662671101136")</f>
        <v>662671101136</v>
      </c>
      <c r="C112" s="2">
        <v>102503</v>
      </c>
      <c r="D112" s="2" t="s">
        <v>148</v>
      </c>
      <c r="E112" s="2">
        <v>112.36</v>
      </c>
      <c r="F112" s="3">
        <v>45323</v>
      </c>
      <c r="G112" s="2">
        <v>0.26300000000000001</v>
      </c>
      <c r="H112" s="2" t="str">
        <f>("10662671101133")</f>
        <v>10662671101133</v>
      </c>
      <c r="I112" s="2">
        <v>20</v>
      </c>
      <c r="J112" s="2">
        <v>640</v>
      </c>
    </row>
    <row r="113" spans="1:10">
      <c r="A113" s="2" t="s">
        <v>10</v>
      </c>
      <c r="B113" s="2" t="str">
        <f>("662671101143")</f>
        <v>662671101143</v>
      </c>
      <c r="C113" s="2">
        <v>102504</v>
      </c>
      <c r="D113" s="2" t="s">
        <v>149</v>
      </c>
      <c r="E113" s="2">
        <v>209.06</v>
      </c>
      <c r="F113" s="3">
        <v>45323</v>
      </c>
      <c r="G113" s="2">
        <v>0.51900000000000002</v>
      </c>
      <c r="H113" s="2" t="str">
        <f>("10662671101140")</f>
        <v>10662671101140</v>
      </c>
      <c r="I113" s="2">
        <v>10</v>
      </c>
      <c r="J113" s="2">
        <v>320</v>
      </c>
    </row>
    <row r="114" spans="1:10">
      <c r="A114" s="2" t="s">
        <v>10</v>
      </c>
      <c r="B114" s="2" t="str">
        <f>("662671101150")</f>
        <v>662671101150</v>
      </c>
      <c r="C114" s="2">
        <v>102506</v>
      </c>
      <c r="D114" s="2" t="s">
        <v>150</v>
      </c>
      <c r="E114" s="2">
        <v>915.35</v>
      </c>
      <c r="F114" s="3">
        <v>45323</v>
      </c>
      <c r="G114" s="2">
        <v>1.135</v>
      </c>
      <c r="H114" s="2" t="str">
        <f>("10662671101157")</f>
        <v>10662671101157</v>
      </c>
      <c r="I114" s="2">
        <v>8</v>
      </c>
      <c r="J114" s="2">
        <v>144</v>
      </c>
    </row>
    <row r="115" spans="1:10">
      <c r="A115" s="2" t="s">
        <v>10</v>
      </c>
      <c r="B115" s="2" t="str">
        <f>("662671101167")</f>
        <v>662671101167</v>
      </c>
      <c r="C115" s="2">
        <v>102520</v>
      </c>
      <c r="D115" s="2" t="s">
        <v>151</v>
      </c>
      <c r="E115" s="2">
        <v>32</v>
      </c>
      <c r="F115" s="3">
        <v>45323</v>
      </c>
      <c r="G115" s="2">
        <v>3.5000000000000003E-2</v>
      </c>
      <c r="H115" s="2" t="str">
        <f>("10662671101164")</f>
        <v>10662671101164</v>
      </c>
      <c r="I115" s="2">
        <v>100</v>
      </c>
      <c r="J115" s="2">
        <v>7200</v>
      </c>
    </row>
    <row r="116" spans="1:10">
      <c r="A116" s="2" t="s">
        <v>10</v>
      </c>
      <c r="B116" s="2" t="str">
        <f>("662671101174")</f>
        <v>662671101174</v>
      </c>
      <c r="C116" s="2">
        <v>102521</v>
      </c>
      <c r="D116" s="2" t="s">
        <v>152</v>
      </c>
      <c r="E116" s="2">
        <v>16.12</v>
      </c>
      <c r="F116" s="3">
        <v>45323</v>
      </c>
      <c r="G116" s="2">
        <v>3.9E-2</v>
      </c>
      <c r="H116" s="2" t="str">
        <f>("10662671101171")</f>
        <v>10662671101171</v>
      </c>
      <c r="I116" s="2">
        <v>125</v>
      </c>
      <c r="J116" s="2">
        <v>6000</v>
      </c>
    </row>
    <row r="117" spans="1:10">
      <c r="A117" s="2" t="s">
        <v>10</v>
      </c>
      <c r="B117" s="2" t="str">
        <f>("662671101204")</f>
        <v>662671101204</v>
      </c>
      <c r="C117" s="2">
        <v>102522</v>
      </c>
      <c r="D117" s="2" t="s">
        <v>153</v>
      </c>
      <c r="E117" s="2">
        <v>27.27</v>
      </c>
      <c r="F117" s="3">
        <v>45323</v>
      </c>
      <c r="G117" s="2">
        <v>0.06</v>
      </c>
      <c r="H117" s="2" t="str">
        <f>("10662671101201")</f>
        <v>10662671101201</v>
      </c>
      <c r="I117" s="2">
        <v>50</v>
      </c>
      <c r="J117" s="2">
        <v>3600</v>
      </c>
    </row>
    <row r="118" spans="1:10">
      <c r="A118" s="2" t="s">
        <v>10</v>
      </c>
      <c r="B118" s="2" t="str">
        <f>("662671101228")</f>
        <v>662671101228</v>
      </c>
      <c r="C118" s="2">
        <v>102523</v>
      </c>
      <c r="D118" s="2" t="s">
        <v>154</v>
      </c>
      <c r="E118" s="2">
        <v>71.84</v>
      </c>
      <c r="F118" s="3">
        <v>45323</v>
      </c>
      <c r="G118" s="2">
        <v>0.20899999999999999</v>
      </c>
      <c r="H118" s="2" t="str">
        <f>("10662671101225")</f>
        <v>10662671101225</v>
      </c>
      <c r="I118" s="2">
        <v>25</v>
      </c>
      <c r="J118" s="2">
        <v>800</v>
      </c>
    </row>
    <row r="119" spans="1:10">
      <c r="A119" s="2" t="s">
        <v>10</v>
      </c>
      <c r="B119" s="2" t="str">
        <f>("662671101235")</f>
        <v>662671101235</v>
      </c>
      <c r="C119" s="2">
        <v>102524</v>
      </c>
      <c r="D119" s="2" t="s">
        <v>155</v>
      </c>
      <c r="E119" s="2">
        <v>140.54</v>
      </c>
      <c r="F119" s="3">
        <v>45323</v>
      </c>
      <c r="G119" s="2">
        <v>0.36399999999999999</v>
      </c>
      <c r="H119" s="2" t="str">
        <f>("10662671101232")</f>
        <v>10662671101232</v>
      </c>
      <c r="I119" s="2">
        <v>25</v>
      </c>
      <c r="J119" s="2">
        <v>450</v>
      </c>
    </row>
    <row r="120" spans="1:10">
      <c r="A120" s="2" t="s">
        <v>10</v>
      </c>
      <c r="B120" s="2" t="str">
        <f>("662671101242")</f>
        <v>662671101242</v>
      </c>
      <c r="C120" s="2">
        <v>102550</v>
      </c>
      <c r="D120" s="2" t="s">
        <v>156</v>
      </c>
      <c r="E120" s="2">
        <v>39.78</v>
      </c>
      <c r="F120" s="3">
        <v>45323</v>
      </c>
      <c r="G120" s="2">
        <v>4.1000000000000002E-2</v>
      </c>
      <c r="H120" s="2" t="str">
        <f>("10662671101249")</f>
        <v>10662671101249</v>
      </c>
      <c r="I120" s="2">
        <v>100</v>
      </c>
      <c r="J120" s="2">
        <v>7200</v>
      </c>
    </row>
    <row r="121" spans="1:10">
      <c r="A121" s="2" t="s">
        <v>10</v>
      </c>
      <c r="B121" s="2" t="str">
        <f>("662671101259")</f>
        <v>662671101259</v>
      </c>
      <c r="C121" s="2">
        <v>102551</v>
      </c>
      <c r="D121" s="2" t="s">
        <v>157</v>
      </c>
      <c r="E121" s="2">
        <v>24.78</v>
      </c>
      <c r="F121" s="3">
        <v>45323</v>
      </c>
      <c r="G121" s="2">
        <v>4.5999999999999999E-2</v>
      </c>
      <c r="H121" s="2" t="str">
        <f>("10662671101256")</f>
        <v>10662671101256</v>
      </c>
      <c r="I121" s="2">
        <v>75</v>
      </c>
      <c r="J121" s="2">
        <v>5400</v>
      </c>
    </row>
    <row r="122" spans="1:10">
      <c r="A122" s="2" t="s">
        <v>10</v>
      </c>
      <c r="B122" s="2" t="str">
        <f>("662671101266")</f>
        <v>662671101266</v>
      </c>
      <c r="C122" s="2">
        <v>102552</v>
      </c>
      <c r="D122" s="2" t="s">
        <v>158</v>
      </c>
      <c r="E122" s="2">
        <v>46.2</v>
      </c>
      <c r="F122" s="3">
        <v>45323</v>
      </c>
      <c r="G122" s="2">
        <v>7.2999999999999995E-2</v>
      </c>
      <c r="H122" s="2" t="str">
        <f>("10662671101263")</f>
        <v>10662671101263</v>
      </c>
      <c r="I122" s="2">
        <v>50</v>
      </c>
      <c r="J122" s="2">
        <v>2400</v>
      </c>
    </row>
    <row r="123" spans="1:10">
      <c r="A123" s="2" t="s">
        <v>10</v>
      </c>
      <c r="B123" s="2" t="str">
        <f>("662671101273")</f>
        <v>662671101273</v>
      </c>
      <c r="C123" s="2">
        <v>102553</v>
      </c>
      <c r="D123" s="2" t="s">
        <v>159</v>
      </c>
      <c r="E123" s="2">
        <v>101.78</v>
      </c>
      <c r="F123" s="3">
        <v>45323</v>
      </c>
      <c r="G123" s="2">
        <v>0.21099999999999999</v>
      </c>
      <c r="H123" s="2" t="str">
        <f>("10662671101270")</f>
        <v>10662671101270</v>
      </c>
      <c r="I123" s="2">
        <v>20</v>
      </c>
      <c r="J123" s="2">
        <v>960</v>
      </c>
    </row>
    <row r="124" spans="1:10">
      <c r="A124" s="2" t="s">
        <v>10</v>
      </c>
      <c r="B124" s="2" t="str">
        <f>("662671101280")</f>
        <v>662671101280</v>
      </c>
      <c r="C124" s="2">
        <v>102554</v>
      </c>
      <c r="D124" s="2" t="s">
        <v>160</v>
      </c>
      <c r="E124" s="2">
        <v>189.39</v>
      </c>
      <c r="F124" s="3">
        <v>45323</v>
      </c>
      <c r="G124" s="2">
        <v>0.35499999999999998</v>
      </c>
      <c r="H124" s="2" t="str">
        <f>("10662671101287")</f>
        <v>10662671101287</v>
      </c>
      <c r="I124" s="2">
        <v>15</v>
      </c>
      <c r="J124" s="2">
        <v>480</v>
      </c>
    </row>
    <row r="125" spans="1:10">
      <c r="A125" s="2" t="s">
        <v>10</v>
      </c>
      <c r="B125" s="2" t="str">
        <f>("662671101297")</f>
        <v>662671101297</v>
      </c>
      <c r="C125" s="2">
        <v>102556</v>
      </c>
      <c r="D125" s="2" t="s">
        <v>161</v>
      </c>
      <c r="E125" s="2">
        <v>1138.51</v>
      </c>
      <c r="F125" s="3">
        <v>45323</v>
      </c>
      <c r="G125" s="2">
        <v>0.99199999999999999</v>
      </c>
      <c r="H125" s="2" t="str">
        <f>("10662671101294")</f>
        <v>10662671101294</v>
      </c>
      <c r="I125" s="2">
        <v>8</v>
      </c>
      <c r="J125" s="2">
        <v>144</v>
      </c>
    </row>
    <row r="126" spans="1:10">
      <c r="A126" s="2" t="s">
        <v>10</v>
      </c>
      <c r="B126" s="2" t="str">
        <f>("662671106896")</f>
        <v>662671106896</v>
      </c>
      <c r="C126" s="2">
        <v>102561</v>
      </c>
      <c r="D126" s="2" t="s">
        <v>162</v>
      </c>
      <c r="E126" s="2">
        <v>27.43</v>
      </c>
      <c r="F126" s="3">
        <v>45323</v>
      </c>
      <c r="G126" s="2">
        <v>4.3999999999999997E-2</v>
      </c>
      <c r="H126" s="2" t="str">
        <f>("10662671106893")</f>
        <v>10662671106893</v>
      </c>
      <c r="I126" s="2">
        <v>90</v>
      </c>
      <c r="J126" s="2">
        <v>6480</v>
      </c>
    </row>
    <row r="127" spans="1:10">
      <c r="A127" s="2" t="s">
        <v>10</v>
      </c>
      <c r="B127" s="2" t="str">
        <f>("662671106902")</f>
        <v>662671106902</v>
      </c>
      <c r="C127" s="2">
        <v>102562</v>
      </c>
      <c r="D127" s="2" t="s">
        <v>163</v>
      </c>
      <c r="E127" s="2">
        <v>52.13</v>
      </c>
      <c r="F127" s="3">
        <v>45323</v>
      </c>
      <c r="G127" s="2">
        <v>6.9000000000000006E-2</v>
      </c>
      <c r="H127" s="2" t="str">
        <f>("10662671106909")</f>
        <v>10662671106909</v>
      </c>
      <c r="I127" s="2">
        <v>45</v>
      </c>
      <c r="J127" s="2">
        <v>3240</v>
      </c>
    </row>
    <row r="128" spans="1:10">
      <c r="A128" s="2" t="s">
        <v>10</v>
      </c>
      <c r="B128" s="2" t="str">
        <f>("662671107312")</f>
        <v>662671107312</v>
      </c>
      <c r="C128" s="2">
        <v>102563</v>
      </c>
      <c r="D128" s="2" t="s">
        <v>164</v>
      </c>
      <c r="E128" s="2">
        <v>108.19</v>
      </c>
      <c r="F128" s="3">
        <v>45323</v>
      </c>
      <c r="G128" s="2">
        <v>0.20599999999999999</v>
      </c>
      <c r="H128" s="2" t="str">
        <f>("10662671107319")</f>
        <v>10662671107319</v>
      </c>
      <c r="I128" s="2">
        <v>30</v>
      </c>
      <c r="J128" s="2">
        <v>960</v>
      </c>
    </row>
    <row r="129" spans="1:10">
      <c r="A129" s="2" t="s">
        <v>10</v>
      </c>
      <c r="B129" s="2" t="str">
        <f>("662671107947")</f>
        <v>662671107947</v>
      </c>
      <c r="C129" s="2">
        <v>102564</v>
      </c>
      <c r="D129" s="2" t="s">
        <v>165</v>
      </c>
      <c r="E129" s="2">
        <v>201.23</v>
      </c>
      <c r="F129" s="3">
        <v>45323</v>
      </c>
      <c r="G129" s="2">
        <v>0.34699999999999998</v>
      </c>
      <c r="H129" s="2" t="str">
        <f>("10662671107944")</f>
        <v>10662671107944</v>
      </c>
      <c r="I129" s="2">
        <v>15</v>
      </c>
      <c r="J129" s="2">
        <v>480</v>
      </c>
    </row>
    <row r="130" spans="1:10">
      <c r="A130" s="2" t="s">
        <v>10</v>
      </c>
      <c r="B130" s="2" t="str">
        <f>("662671101310")</f>
        <v>662671101310</v>
      </c>
      <c r="C130" s="2">
        <v>102601</v>
      </c>
      <c r="D130" s="2" t="s">
        <v>166</v>
      </c>
      <c r="E130" s="2">
        <v>45.95</v>
      </c>
      <c r="F130" s="3">
        <v>45323</v>
      </c>
      <c r="G130" s="2">
        <v>5.0999999999999997E-2</v>
      </c>
      <c r="H130" s="2" t="str">
        <f>("10662671101317")</f>
        <v>10662671101317</v>
      </c>
      <c r="I130" s="2">
        <v>60</v>
      </c>
      <c r="J130" s="2">
        <v>4320</v>
      </c>
    </row>
    <row r="131" spans="1:10">
      <c r="A131" s="2" t="s">
        <v>10</v>
      </c>
      <c r="B131" s="2" t="str">
        <f>("662671101327")</f>
        <v>662671101327</v>
      </c>
      <c r="C131" s="2">
        <v>102602</v>
      </c>
      <c r="D131" s="2" t="s">
        <v>167</v>
      </c>
      <c r="E131" s="2">
        <v>61.57</v>
      </c>
      <c r="F131" s="3">
        <v>45323</v>
      </c>
      <c r="G131" s="2">
        <v>6.4000000000000001E-2</v>
      </c>
      <c r="H131" s="2" t="str">
        <f>("10662671101324")</f>
        <v>10662671101324</v>
      </c>
      <c r="I131" s="2">
        <v>40</v>
      </c>
      <c r="J131" s="2">
        <v>2880</v>
      </c>
    </row>
    <row r="132" spans="1:10">
      <c r="A132" s="2" t="s">
        <v>10</v>
      </c>
      <c r="B132" s="2" t="str">
        <f>("662671107268")</f>
        <v>662671107268</v>
      </c>
      <c r="C132" s="2" t="s">
        <v>168</v>
      </c>
      <c r="D132" s="2" t="s">
        <v>169</v>
      </c>
      <c r="E132" s="2">
        <v>70.650000000000006</v>
      </c>
      <c r="F132" s="3">
        <v>45323</v>
      </c>
      <c r="G132" s="2">
        <v>0.1</v>
      </c>
      <c r="H132" s="2" t="str">
        <f>("10662671107265")</f>
        <v>10662671107265</v>
      </c>
      <c r="I132" s="2">
        <v>30</v>
      </c>
      <c r="J132" s="2">
        <v>2160</v>
      </c>
    </row>
    <row r="133" spans="1:10">
      <c r="A133" s="2" t="s">
        <v>10</v>
      </c>
      <c r="B133" s="2" t="str">
        <f>("662671101334")</f>
        <v>662671101334</v>
      </c>
      <c r="C133" s="2">
        <v>102603</v>
      </c>
      <c r="D133" s="2" t="s">
        <v>170</v>
      </c>
      <c r="E133" s="2">
        <v>137.97</v>
      </c>
      <c r="F133" s="3">
        <v>45323</v>
      </c>
      <c r="G133" s="2">
        <v>0.23200000000000001</v>
      </c>
      <c r="H133" s="2" t="str">
        <f>("10662671101331")</f>
        <v>10662671101331</v>
      </c>
      <c r="I133" s="2">
        <v>20</v>
      </c>
      <c r="J133" s="2">
        <v>640</v>
      </c>
    </row>
    <row r="134" spans="1:10">
      <c r="A134" s="2" t="s">
        <v>10</v>
      </c>
      <c r="B134" s="2" t="str">
        <f>("662671106964")</f>
        <v>662671106964</v>
      </c>
      <c r="C134" s="2" t="s">
        <v>171</v>
      </c>
      <c r="D134" s="2" t="s">
        <v>172</v>
      </c>
      <c r="E134" s="2">
        <v>172.42</v>
      </c>
      <c r="F134" s="3">
        <v>45323</v>
      </c>
      <c r="G134" s="2">
        <v>0.27900000000000003</v>
      </c>
      <c r="H134" s="2" t="str">
        <f>("10662671106961")</f>
        <v>10662671106961</v>
      </c>
      <c r="I134" s="2">
        <v>20</v>
      </c>
      <c r="J134" s="2">
        <v>640</v>
      </c>
    </row>
    <row r="135" spans="1:10">
      <c r="A135" s="2" t="s">
        <v>10</v>
      </c>
      <c r="B135" s="2" t="str">
        <f>("662671101341")</f>
        <v>662671101341</v>
      </c>
      <c r="C135" s="2">
        <v>102604</v>
      </c>
      <c r="D135" s="2" t="s">
        <v>173</v>
      </c>
      <c r="E135" s="2">
        <v>267.08</v>
      </c>
      <c r="F135" s="3">
        <v>45323</v>
      </c>
      <c r="G135" s="2">
        <v>0.47299999999999998</v>
      </c>
      <c r="H135" s="2" t="str">
        <f>("10662671101348")</f>
        <v>10662671101348</v>
      </c>
      <c r="I135" s="2">
        <v>10</v>
      </c>
      <c r="J135" s="2">
        <v>320</v>
      </c>
    </row>
    <row r="136" spans="1:10">
      <c r="A136" s="2" t="s">
        <v>10</v>
      </c>
      <c r="B136" s="2" t="str">
        <f>("662671101358")</f>
        <v>662671101358</v>
      </c>
      <c r="C136" s="2">
        <v>102747</v>
      </c>
      <c r="D136" s="2" t="s">
        <v>174</v>
      </c>
      <c r="E136" s="2">
        <v>27.57</v>
      </c>
      <c r="F136" s="3">
        <v>45323</v>
      </c>
      <c r="G136" s="2">
        <v>2.4E-2</v>
      </c>
      <c r="H136" s="2" t="str">
        <f>("10662671101355")</f>
        <v>10662671101355</v>
      </c>
      <c r="I136" s="2">
        <v>120</v>
      </c>
      <c r="J136" s="2">
        <v>17280</v>
      </c>
    </row>
    <row r="137" spans="1:10">
      <c r="A137" s="2" t="s">
        <v>10</v>
      </c>
      <c r="B137" s="2" t="str">
        <f>("662671101372")</f>
        <v>662671101372</v>
      </c>
      <c r="C137" s="2">
        <v>102749</v>
      </c>
      <c r="D137" s="2" t="s">
        <v>175</v>
      </c>
      <c r="E137" s="2">
        <v>30.61</v>
      </c>
      <c r="F137" s="3">
        <v>45323</v>
      </c>
      <c r="G137" s="2">
        <v>2.5000000000000001E-2</v>
      </c>
      <c r="H137" s="2" t="str">
        <f>("10662671101379")</f>
        <v>10662671101379</v>
      </c>
      <c r="I137" s="2">
        <v>100</v>
      </c>
      <c r="J137" s="2">
        <v>14400</v>
      </c>
    </row>
    <row r="138" spans="1:10">
      <c r="A138" s="2" t="s">
        <v>10</v>
      </c>
      <c r="B138" s="2" t="str">
        <f>("662671101389")</f>
        <v>662671101389</v>
      </c>
      <c r="C138" s="2">
        <v>102750</v>
      </c>
      <c r="D138" s="2" t="s">
        <v>176</v>
      </c>
      <c r="E138" s="2">
        <v>21.72</v>
      </c>
      <c r="F138" s="3">
        <v>45323</v>
      </c>
      <c r="G138" s="2">
        <v>1.2999999999999999E-2</v>
      </c>
      <c r="H138" s="2" t="str">
        <f>("10662671101386")</f>
        <v>10662671101386</v>
      </c>
      <c r="I138" s="2">
        <v>150</v>
      </c>
      <c r="J138" s="2">
        <v>21600</v>
      </c>
    </row>
    <row r="139" spans="1:10">
      <c r="A139" s="2" t="s">
        <v>10</v>
      </c>
      <c r="B139" s="2" t="str">
        <f>("662671101402")</f>
        <v>662671101402</v>
      </c>
      <c r="C139" s="2">
        <v>102751</v>
      </c>
      <c r="D139" s="2" t="s">
        <v>177</v>
      </c>
      <c r="E139" s="2">
        <v>39.4</v>
      </c>
      <c r="F139" s="3">
        <v>45323</v>
      </c>
      <c r="G139" s="2">
        <v>1.6E-2</v>
      </c>
      <c r="H139" s="2" t="str">
        <f>("10662671101409")</f>
        <v>10662671101409</v>
      </c>
      <c r="I139" s="2">
        <v>100</v>
      </c>
      <c r="J139" s="2">
        <v>14400</v>
      </c>
    </row>
    <row r="140" spans="1:10">
      <c r="A140" s="2" t="s">
        <v>10</v>
      </c>
      <c r="B140" s="2" t="str">
        <f>("662671101419")</f>
        <v>662671101419</v>
      </c>
      <c r="C140" s="2">
        <v>102752</v>
      </c>
      <c r="D140" s="2" t="s">
        <v>178</v>
      </c>
      <c r="E140" s="2">
        <v>14.49</v>
      </c>
      <c r="F140" s="3">
        <v>45323</v>
      </c>
      <c r="G140" s="2">
        <v>2.1999999999999999E-2</v>
      </c>
      <c r="H140" s="2" t="str">
        <f>("10662671101416")</f>
        <v>10662671101416</v>
      </c>
      <c r="I140" s="2">
        <v>150</v>
      </c>
      <c r="J140" s="2">
        <v>10800</v>
      </c>
    </row>
    <row r="141" spans="1:10">
      <c r="A141" s="2" t="s">
        <v>10</v>
      </c>
      <c r="B141" s="2" t="str">
        <f>("662671101433")</f>
        <v>662671101433</v>
      </c>
      <c r="C141" s="2">
        <v>102753</v>
      </c>
      <c r="D141" s="2" t="s">
        <v>179</v>
      </c>
      <c r="E141" s="2">
        <v>58.2</v>
      </c>
      <c r="F141" s="3">
        <v>45323</v>
      </c>
      <c r="G141" s="2">
        <v>3.4000000000000002E-2</v>
      </c>
      <c r="H141" s="2" t="str">
        <f>("10662671101430")</f>
        <v>10662671101430</v>
      </c>
      <c r="I141" s="2">
        <v>125</v>
      </c>
      <c r="J141" s="2">
        <v>9000</v>
      </c>
    </row>
    <row r="142" spans="1:10">
      <c r="A142" s="2" t="s">
        <v>10</v>
      </c>
      <c r="B142" s="2" t="str">
        <f>("662671101440")</f>
        <v>662671101440</v>
      </c>
      <c r="C142" s="2">
        <v>102754</v>
      </c>
      <c r="D142" s="2" t="s">
        <v>180</v>
      </c>
      <c r="E142" s="2">
        <v>50.53</v>
      </c>
      <c r="F142" s="3">
        <v>45323</v>
      </c>
      <c r="G142" s="2">
        <v>0.129</v>
      </c>
      <c r="H142" s="2" t="str">
        <f>("10662671101447")</f>
        <v>10662671101447</v>
      </c>
      <c r="I142" s="2">
        <v>60</v>
      </c>
      <c r="J142" s="2">
        <v>2880</v>
      </c>
    </row>
    <row r="143" spans="1:10">
      <c r="A143" s="2" t="s">
        <v>10</v>
      </c>
      <c r="B143" s="2" t="str">
        <f>("662671101464")</f>
        <v>662671101464</v>
      </c>
      <c r="C143" s="2">
        <v>102756</v>
      </c>
      <c r="D143" s="2" t="s">
        <v>181</v>
      </c>
      <c r="E143" s="2">
        <v>96.65</v>
      </c>
      <c r="F143" s="3">
        <v>45323</v>
      </c>
      <c r="G143" s="2">
        <v>0.17199999999999999</v>
      </c>
      <c r="H143" s="2" t="str">
        <f>("10662671101461")</f>
        <v>10662671101461</v>
      </c>
      <c r="I143" s="2">
        <v>35</v>
      </c>
      <c r="J143" s="2">
        <v>1680</v>
      </c>
    </row>
    <row r="144" spans="1:10">
      <c r="A144" s="2" t="s">
        <v>10</v>
      </c>
      <c r="B144" s="2" t="str">
        <f>("662671101488")</f>
        <v>662671101488</v>
      </c>
      <c r="C144" s="2">
        <v>102758</v>
      </c>
      <c r="D144" s="2" t="s">
        <v>182</v>
      </c>
      <c r="E144" s="2">
        <v>108.66</v>
      </c>
      <c r="F144" s="3">
        <v>45323</v>
      </c>
      <c r="G144" s="2">
        <v>0.19600000000000001</v>
      </c>
      <c r="H144" s="2" t="str">
        <f>("10662671101485")</f>
        <v>10662671101485</v>
      </c>
      <c r="I144" s="2">
        <v>20</v>
      </c>
      <c r="J144" s="2">
        <v>1440</v>
      </c>
    </row>
    <row r="145" spans="1:10">
      <c r="A145" s="2" t="s">
        <v>10</v>
      </c>
      <c r="B145" s="2" t="str">
        <f>("662671101501")</f>
        <v>662671101501</v>
      </c>
      <c r="C145" s="2">
        <v>102759</v>
      </c>
      <c r="D145" s="2" t="s">
        <v>183</v>
      </c>
      <c r="E145" s="2">
        <v>122.52</v>
      </c>
      <c r="F145" s="3">
        <v>45323</v>
      </c>
      <c r="G145" s="2">
        <v>0.22</v>
      </c>
      <c r="H145" s="2" t="str">
        <f>("10662671101508")</f>
        <v>10662671101508</v>
      </c>
      <c r="I145" s="2">
        <v>10</v>
      </c>
      <c r="J145" s="2">
        <v>720</v>
      </c>
    </row>
    <row r="146" spans="1:10">
      <c r="A146" s="2" t="s">
        <v>10</v>
      </c>
      <c r="B146" s="2" t="str">
        <f>("662671101518")</f>
        <v>662671101518</v>
      </c>
      <c r="C146" s="2">
        <v>102760</v>
      </c>
      <c r="D146" s="2" t="s">
        <v>184</v>
      </c>
      <c r="E146" s="2">
        <v>41.68</v>
      </c>
      <c r="F146" s="3">
        <v>45323</v>
      </c>
      <c r="G146" s="2">
        <v>3.1E-2</v>
      </c>
      <c r="H146" s="2" t="str">
        <f>("10662671101515")</f>
        <v>10662671101515</v>
      </c>
      <c r="I146" s="2">
        <v>150</v>
      </c>
      <c r="J146" s="2">
        <v>10800</v>
      </c>
    </row>
    <row r="147" spans="1:10">
      <c r="A147" s="2" t="s">
        <v>10</v>
      </c>
      <c r="B147" s="2" t="str">
        <f>("662671101525")</f>
        <v>662671101525</v>
      </c>
      <c r="C147" s="2">
        <v>102762</v>
      </c>
      <c r="D147" s="2" t="s">
        <v>185</v>
      </c>
      <c r="E147" s="2">
        <v>70.11</v>
      </c>
      <c r="F147" s="3">
        <v>45323</v>
      </c>
      <c r="G147" s="2">
        <v>0.14000000000000001</v>
      </c>
      <c r="H147" s="2" t="str">
        <f>("10662671101522")</f>
        <v>10662671101522</v>
      </c>
      <c r="I147" s="2">
        <v>35</v>
      </c>
      <c r="J147" s="2">
        <v>2520</v>
      </c>
    </row>
    <row r="148" spans="1:10">
      <c r="A148" s="2" t="s">
        <v>10</v>
      </c>
      <c r="B148" s="2" t="str">
        <f>("662671101549")</f>
        <v>662671101549</v>
      </c>
      <c r="C148" s="2">
        <v>102764</v>
      </c>
      <c r="D148" s="2" t="s">
        <v>186</v>
      </c>
      <c r="E148" s="2">
        <v>155.86000000000001</v>
      </c>
      <c r="F148" s="3">
        <v>45323</v>
      </c>
      <c r="G148" s="2">
        <v>0.14499999999999999</v>
      </c>
      <c r="H148" s="2" t="str">
        <f>("10662671101546")</f>
        <v>10662671101546</v>
      </c>
      <c r="I148" s="2">
        <v>30</v>
      </c>
      <c r="J148" s="2">
        <v>2160</v>
      </c>
    </row>
    <row r="149" spans="1:10">
      <c r="A149" s="2" t="s">
        <v>10</v>
      </c>
      <c r="B149" s="2" t="str">
        <f>("662671101563")</f>
        <v>662671101563</v>
      </c>
      <c r="C149" s="2">
        <v>102767</v>
      </c>
      <c r="D149" s="2" t="s">
        <v>187</v>
      </c>
      <c r="E149" s="2">
        <v>543.29</v>
      </c>
      <c r="F149" s="3">
        <v>45323</v>
      </c>
      <c r="G149" s="2">
        <v>0.64800000000000002</v>
      </c>
      <c r="H149" s="2" t="str">
        <f>("10662671101560")</f>
        <v>10662671101560</v>
      </c>
      <c r="I149" s="2">
        <v>8</v>
      </c>
      <c r="J149" s="2">
        <v>384</v>
      </c>
    </row>
    <row r="150" spans="1:10">
      <c r="A150" s="2" t="s">
        <v>10</v>
      </c>
      <c r="B150" s="2" t="str">
        <f>("662671109767")</f>
        <v>662671109767</v>
      </c>
      <c r="C150" s="2">
        <v>102800</v>
      </c>
      <c r="D150" s="2" t="s">
        <v>188</v>
      </c>
      <c r="E150" s="2">
        <v>24.78</v>
      </c>
      <c r="F150" s="3">
        <v>45323</v>
      </c>
      <c r="G150" s="2">
        <v>2.4E-2</v>
      </c>
      <c r="H150" s="2" t="str">
        <f>("00662671109767")</f>
        <v>00662671109767</v>
      </c>
      <c r="I150" s="2">
        <v>1</v>
      </c>
    </row>
    <row r="151" spans="1:10">
      <c r="A151" s="2" t="s">
        <v>10</v>
      </c>
      <c r="B151" s="2" t="str">
        <f>("662671101570")</f>
        <v>662671101570</v>
      </c>
      <c r="C151" s="2" t="s">
        <v>189</v>
      </c>
      <c r="D151" s="2" t="s">
        <v>190</v>
      </c>
      <c r="E151" s="2">
        <v>49.6</v>
      </c>
      <c r="F151" s="3">
        <v>45323</v>
      </c>
      <c r="G151" s="2">
        <v>3.3000000000000002E-2</v>
      </c>
      <c r="H151" s="2" t="str">
        <f>("10662671101577")</f>
        <v>10662671101577</v>
      </c>
      <c r="I151" s="2">
        <v>100</v>
      </c>
      <c r="J151" s="2">
        <v>7200</v>
      </c>
    </row>
    <row r="152" spans="1:10">
      <c r="A152" s="2" t="s">
        <v>10</v>
      </c>
      <c r="B152" s="2" t="str">
        <f>("662671108265")</f>
        <v>662671108265</v>
      </c>
      <c r="C152" s="2">
        <v>102801</v>
      </c>
      <c r="D152" s="2" t="s">
        <v>191</v>
      </c>
      <c r="E152" s="2">
        <v>17.91</v>
      </c>
      <c r="F152" s="3">
        <v>45323</v>
      </c>
      <c r="G152" s="2">
        <v>2.8000000000000001E-2</v>
      </c>
      <c r="H152" s="2" t="str">
        <f>("10662671108262")</f>
        <v>10662671108262</v>
      </c>
      <c r="I152" s="2">
        <v>100</v>
      </c>
      <c r="J152" s="2">
        <v>7200</v>
      </c>
    </row>
    <row r="153" spans="1:10">
      <c r="A153" s="2" t="s">
        <v>10</v>
      </c>
      <c r="B153" s="2" t="str">
        <f>("662671101594")</f>
        <v>662671101594</v>
      </c>
      <c r="C153" s="2" t="s">
        <v>192</v>
      </c>
      <c r="D153" s="2" t="s">
        <v>193</v>
      </c>
      <c r="E153" s="2">
        <v>35.369999999999997</v>
      </c>
      <c r="F153" s="3">
        <v>45323</v>
      </c>
      <c r="G153" s="2">
        <v>3.9E-2</v>
      </c>
      <c r="H153" s="2" t="str">
        <f>("10662671101591")</f>
        <v>10662671101591</v>
      </c>
      <c r="I153" s="2">
        <v>100</v>
      </c>
      <c r="J153" s="2">
        <v>7200</v>
      </c>
    </row>
    <row r="154" spans="1:10">
      <c r="A154" s="2" t="s">
        <v>10</v>
      </c>
      <c r="B154" s="2" t="str">
        <f>("662671107961")</f>
        <v>662671107961</v>
      </c>
      <c r="C154" s="2">
        <v>102802</v>
      </c>
      <c r="D154" s="2" t="s">
        <v>194</v>
      </c>
      <c r="E154" s="2">
        <v>67.650000000000006</v>
      </c>
      <c r="F154" s="3">
        <v>45323</v>
      </c>
      <c r="G154" s="2">
        <v>3.7999999999999999E-2</v>
      </c>
      <c r="H154" s="2" t="str">
        <f>("10662671107968")</f>
        <v>10662671107968</v>
      </c>
      <c r="I154" s="2">
        <v>60</v>
      </c>
      <c r="J154" s="2">
        <v>4320</v>
      </c>
    </row>
    <row r="155" spans="1:10">
      <c r="A155" s="2" t="s">
        <v>10</v>
      </c>
      <c r="B155" s="2" t="str">
        <f>("662671101600")</f>
        <v>662671101600</v>
      </c>
      <c r="C155" s="2" t="s">
        <v>195</v>
      </c>
      <c r="D155" s="2" t="s">
        <v>196</v>
      </c>
      <c r="E155" s="2">
        <v>82.88</v>
      </c>
      <c r="F155" s="3">
        <v>45323</v>
      </c>
      <c r="G155" s="2">
        <v>5.3999999999999999E-2</v>
      </c>
      <c r="H155" s="2" t="str">
        <f>("10662671101607")</f>
        <v>10662671101607</v>
      </c>
      <c r="I155" s="2">
        <v>60</v>
      </c>
      <c r="J155" s="2">
        <v>4320</v>
      </c>
    </row>
    <row r="156" spans="1:10">
      <c r="A156" s="2" t="s">
        <v>10</v>
      </c>
      <c r="B156" s="2" t="str">
        <f>("662671109729")</f>
        <v>662671109729</v>
      </c>
      <c r="C156" s="2" t="s">
        <v>197</v>
      </c>
      <c r="D156" s="2" t="s">
        <v>198</v>
      </c>
      <c r="E156" s="2">
        <v>31.8</v>
      </c>
      <c r="F156" s="3">
        <v>45323</v>
      </c>
      <c r="G156" s="2">
        <v>4.2999999999999997E-2</v>
      </c>
      <c r="H156" s="2" t="str">
        <f>("10662671109726")</f>
        <v>10662671109726</v>
      </c>
      <c r="I156" s="2">
        <v>100</v>
      </c>
      <c r="J156" s="2">
        <v>7200</v>
      </c>
    </row>
    <row r="157" spans="1:10">
      <c r="A157" s="2" t="s">
        <v>10</v>
      </c>
      <c r="B157" s="2" t="str">
        <f>("662671109712")</f>
        <v>662671109712</v>
      </c>
      <c r="C157" s="2" t="s">
        <v>199</v>
      </c>
      <c r="D157" s="2" t="s">
        <v>200</v>
      </c>
      <c r="E157" s="2">
        <v>51.78</v>
      </c>
      <c r="F157" s="3">
        <v>45323</v>
      </c>
      <c r="G157" s="2">
        <v>3.6999999999999998E-2</v>
      </c>
      <c r="H157" s="2" t="str">
        <f>("10662671109719")</f>
        <v>10662671109719</v>
      </c>
      <c r="I157" s="2">
        <v>100</v>
      </c>
      <c r="J157" s="2">
        <v>7200</v>
      </c>
    </row>
    <row r="158" spans="1:10">
      <c r="A158" s="2" t="s">
        <v>10</v>
      </c>
      <c r="B158" s="2" t="str">
        <f>("662671109736")</f>
        <v>662671109736</v>
      </c>
      <c r="C158" s="2" t="s">
        <v>201</v>
      </c>
      <c r="D158" s="2" t="s">
        <v>202</v>
      </c>
      <c r="E158" s="2">
        <v>33.14</v>
      </c>
      <c r="F158" s="3">
        <v>45323</v>
      </c>
      <c r="G158" s="2">
        <v>3.9E-2</v>
      </c>
      <c r="H158" s="2" t="str">
        <f>("10662671109733")</f>
        <v>10662671109733</v>
      </c>
      <c r="I158" s="2">
        <v>100</v>
      </c>
      <c r="J158" s="2">
        <v>7200</v>
      </c>
    </row>
    <row r="159" spans="1:10">
      <c r="A159" s="2" t="s">
        <v>10</v>
      </c>
      <c r="B159" s="2" t="str">
        <f>("662671109392")</f>
        <v>662671109392</v>
      </c>
      <c r="C159" s="2">
        <v>102840</v>
      </c>
      <c r="D159" s="2" t="s">
        <v>203</v>
      </c>
      <c r="E159" s="2">
        <v>35.549999999999997</v>
      </c>
      <c r="F159" s="3">
        <v>45323</v>
      </c>
      <c r="G159" s="2">
        <v>8.0000000000000002E-3</v>
      </c>
      <c r="H159" s="2" t="str">
        <f>("10662671109399")</f>
        <v>10662671109399</v>
      </c>
      <c r="I159" s="2">
        <v>80</v>
      </c>
    </row>
    <row r="160" spans="1:10">
      <c r="A160" s="2" t="s">
        <v>10</v>
      </c>
      <c r="B160" s="2" t="str">
        <f>("662671101624")</f>
        <v>662671101624</v>
      </c>
      <c r="C160" s="2">
        <v>102841</v>
      </c>
      <c r="D160" s="2" t="s">
        <v>204</v>
      </c>
      <c r="E160" s="2">
        <v>41.78</v>
      </c>
      <c r="F160" s="3">
        <v>45323</v>
      </c>
      <c r="G160" s="2">
        <v>3.7999999999999999E-2</v>
      </c>
      <c r="H160" s="2" t="str">
        <f>("10662671101621")</f>
        <v>10662671101621</v>
      </c>
      <c r="I160" s="2">
        <v>50</v>
      </c>
      <c r="J160" s="2">
        <v>3600</v>
      </c>
    </row>
    <row r="161" spans="1:10">
      <c r="A161" s="2" t="s">
        <v>10</v>
      </c>
      <c r="B161" s="2" t="str">
        <f>("662671101648")</f>
        <v>662671101648</v>
      </c>
      <c r="C161" s="2">
        <v>102842</v>
      </c>
      <c r="D161" s="2" t="s">
        <v>205</v>
      </c>
      <c r="E161" s="2">
        <v>47</v>
      </c>
      <c r="F161" s="3">
        <v>45323</v>
      </c>
      <c r="G161" s="2">
        <v>0.06</v>
      </c>
      <c r="H161" s="2" t="str">
        <f>("10662671101645")</f>
        <v>10662671101645</v>
      </c>
      <c r="I161" s="2">
        <v>50</v>
      </c>
      <c r="J161" s="2">
        <v>1600</v>
      </c>
    </row>
    <row r="162" spans="1:10">
      <c r="A162" s="2" t="s">
        <v>10</v>
      </c>
      <c r="B162" s="2" t="str">
        <f>("662671103413")</f>
        <v>662671103413</v>
      </c>
      <c r="C162" s="2">
        <v>102846</v>
      </c>
      <c r="D162" s="2" t="s">
        <v>206</v>
      </c>
      <c r="E162" s="2">
        <v>244.64</v>
      </c>
      <c r="F162" s="3">
        <v>45323</v>
      </c>
      <c r="G162" s="2">
        <v>0.24</v>
      </c>
      <c r="H162" s="2" t="str">
        <f>("10662671103410")</f>
        <v>10662671103410</v>
      </c>
      <c r="I162" s="2">
        <v>25</v>
      </c>
      <c r="J162" s="2">
        <v>450</v>
      </c>
    </row>
    <row r="163" spans="1:10">
      <c r="A163" s="2" t="s">
        <v>10</v>
      </c>
      <c r="B163" s="2" t="str">
        <f>("662671101655")</f>
        <v>662671101655</v>
      </c>
      <c r="C163" s="2" t="s">
        <v>207</v>
      </c>
      <c r="D163" s="2" t="s">
        <v>208</v>
      </c>
      <c r="E163" s="2">
        <v>51.78</v>
      </c>
      <c r="F163" s="3">
        <v>45323</v>
      </c>
      <c r="G163" s="2">
        <v>3.3000000000000002E-2</v>
      </c>
      <c r="H163" s="2" t="str">
        <f>("10662671101652")</f>
        <v>10662671101652</v>
      </c>
      <c r="I163" s="2">
        <v>125</v>
      </c>
      <c r="J163" s="2">
        <v>9000</v>
      </c>
    </row>
    <row r="164" spans="1:10">
      <c r="A164" s="2" t="s">
        <v>10</v>
      </c>
      <c r="B164" s="2" t="str">
        <f>("662671101662")</f>
        <v>662671101662</v>
      </c>
      <c r="C164" s="2" t="s">
        <v>209</v>
      </c>
      <c r="D164" s="2" t="s">
        <v>210</v>
      </c>
      <c r="E164" s="2">
        <v>32</v>
      </c>
      <c r="F164" s="3">
        <v>45323</v>
      </c>
      <c r="G164" s="2">
        <v>3.9E-2</v>
      </c>
      <c r="H164" s="2" t="str">
        <f>("10662671101669")</f>
        <v>10662671101669</v>
      </c>
      <c r="I164" s="2">
        <v>100</v>
      </c>
      <c r="J164" s="2">
        <v>7200</v>
      </c>
    </row>
    <row r="165" spans="1:10">
      <c r="A165" s="2" t="s">
        <v>10</v>
      </c>
      <c r="B165" s="2" t="str">
        <f>("662671101679")</f>
        <v>662671101679</v>
      </c>
      <c r="C165" s="2" t="s">
        <v>211</v>
      </c>
      <c r="D165" s="2" t="s">
        <v>212</v>
      </c>
      <c r="E165" s="2">
        <v>73.87</v>
      </c>
      <c r="F165" s="3">
        <v>45323</v>
      </c>
      <c r="G165" s="2">
        <v>5.1999999999999998E-2</v>
      </c>
      <c r="H165" s="2" t="str">
        <f>("10662671101676")</f>
        <v>10662671101676</v>
      </c>
      <c r="I165" s="2">
        <v>60</v>
      </c>
      <c r="J165" s="2">
        <v>4320</v>
      </c>
    </row>
    <row r="166" spans="1:10">
      <c r="A166" s="2" t="s">
        <v>10</v>
      </c>
      <c r="B166" s="2" t="str">
        <f>("662671109699")</f>
        <v>662671109699</v>
      </c>
      <c r="C166" s="2" t="s">
        <v>213</v>
      </c>
      <c r="D166" s="2" t="s">
        <v>214</v>
      </c>
      <c r="E166" s="2">
        <v>35.32</v>
      </c>
      <c r="F166" s="3">
        <v>45323</v>
      </c>
      <c r="G166" s="2">
        <v>4.2999999999999997E-2</v>
      </c>
      <c r="H166" s="2" t="str">
        <f>("10662671109696")</f>
        <v>10662671109696</v>
      </c>
      <c r="I166" s="2">
        <v>100</v>
      </c>
      <c r="J166" s="2">
        <v>7200</v>
      </c>
    </row>
    <row r="167" spans="1:10">
      <c r="A167" s="2" t="s">
        <v>10</v>
      </c>
      <c r="B167" s="2" t="str">
        <f>("662671109705")</f>
        <v>662671109705</v>
      </c>
      <c r="C167" s="2" t="s">
        <v>215</v>
      </c>
      <c r="D167" s="2" t="s">
        <v>216</v>
      </c>
      <c r="E167" s="2">
        <v>37.19</v>
      </c>
      <c r="F167" s="3">
        <v>45323</v>
      </c>
      <c r="G167" s="2">
        <v>4.2000000000000003E-2</v>
      </c>
      <c r="H167" s="2" t="str">
        <f>("10662671109702")</f>
        <v>10662671109702</v>
      </c>
      <c r="I167" s="2">
        <v>100</v>
      </c>
      <c r="J167" s="2">
        <v>7200</v>
      </c>
    </row>
    <row r="168" spans="1:10">
      <c r="A168" s="2" t="s">
        <v>10</v>
      </c>
      <c r="B168" s="2" t="str">
        <f>("662671108937")</f>
        <v>662671108937</v>
      </c>
      <c r="C168" s="2" t="s">
        <v>217</v>
      </c>
      <c r="D168" s="2" t="s">
        <v>218</v>
      </c>
      <c r="E168" s="2">
        <v>45.62</v>
      </c>
      <c r="F168" s="3">
        <v>45323</v>
      </c>
      <c r="G168" s="2">
        <v>4.2999999999999997E-2</v>
      </c>
      <c r="H168" s="2" t="str">
        <f>("10662671108934")</f>
        <v>10662671108934</v>
      </c>
      <c r="I168" s="2">
        <v>100</v>
      </c>
      <c r="J168" s="2">
        <v>7200</v>
      </c>
    </row>
    <row r="169" spans="1:10">
      <c r="A169" s="2" t="s">
        <v>10</v>
      </c>
      <c r="B169" s="2" t="str">
        <f>("662671108258")</f>
        <v>662671108258</v>
      </c>
      <c r="C169" s="2">
        <v>102860</v>
      </c>
      <c r="D169" s="2" t="s">
        <v>219</v>
      </c>
      <c r="E169" s="2">
        <v>23.18</v>
      </c>
      <c r="F169" s="3">
        <v>45323</v>
      </c>
      <c r="G169" s="2">
        <v>2.8000000000000001E-2</v>
      </c>
      <c r="H169" s="2" t="str">
        <f>("10662671108255")</f>
        <v>10662671108255</v>
      </c>
      <c r="I169" s="2">
        <v>100</v>
      </c>
    </row>
    <row r="170" spans="1:10">
      <c r="A170" s="2" t="s">
        <v>10</v>
      </c>
      <c r="B170" s="2" t="str">
        <f>("662671101686")</f>
        <v>662671101686</v>
      </c>
      <c r="C170" s="2" t="s">
        <v>220</v>
      </c>
      <c r="D170" s="2" t="s">
        <v>221</v>
      </c>
      <c r="E170" s="2">
        <v>33.14</v>
      </c>
      <c r="F170" s="3">
        <v>45323</v>
      </c>
      <c r="G170" s="2">
        <v>3.6999999999999998E-2</v>
      </c>
      <c r="H170" s="2" t="str">
        <f>("10662671101683")</f>
        <v>10662671101683</v>
      </c>
      <c r="I170" s="2">
        <v>100</v>
      </c>
      <c r="J170" s="2">
        <v>7200</v>
      </c>
    </row>
    <row r="171" spans="1:10">
      <c r="A171" s="2" t="s">
        <v>10</v>
      </c>
      <c r="B171" s="2" t="str">
        <f>("662671101709")</f>
        <v>662671101709</v>
      </c>
      <c r="C171" s="2" t="s">
        <v>222</v>
      </c>
      <c r="D171" s="2" t="s">
        <v>223</v>
      </c>
      <c r="E171" s="2">
        <v>59.09</v>
      </c>
      <c r="F171" s="3">
        <v>45323</v>
      </c>
      <c r="G171" s="2">
        <v>5.2999999999999999E-2</v>
      </c>
      <c r="H171" s="2" t="str">
        <f>("10662671101706")</f>
        <v>10662671101706</v>
      </c>
      <c r="I171" s="2">
        <v>80</v>
      </c>
      <c r="J171" s="2">
        <v>5760</v>
      </c>
    </row>
    <row r="172" spans="1:10">
      <c r="A172" s="2" t="s">
        <v>10</v>
      </c>
      <c r="B172" s="2" t="str">
        <f>("662671101723")</f>
        <v>662671101723</v>
      </c>
      <c r="C172" s="2" t="s">
        <v>224</v>
      </c>
      <c r="D172" s="2" t="s">
        <v>225</v>
      </c>
      <c r="E172" s="2">
        <v>78.05</v>
      </c>
      <c r="F172" s="3">
        <v>45323</v>
      </c>
      <c r="G172" s="2">
        <v>4.7E-2</v>
      </c>
      <c r="H172" s="2" t="str">
        <f>("10662671101720")</f>
        <v>10662671101720</v>
      </c>
      <c r="I172" s="2">
        <v>100</v>
      </c>
      <c r="J172" s="2">
        <v>7200</v>
      </c>
    </row>
    <row r="173" spans="1:10">
      <c r="A173" s="2" t="s">
        <v>10</v>
      </c>
      <c r="B173" s="2" t="str">
        <f>("662671101747")</f>
        <v>662671101747</v>
      </c>
      <c r="C173" s="2" t="s">
        <v>226</v>
      </c>
      <c r="D173" s="2" t="s">
        <v>227</v>
      </c>
      <c r="E173" s="2">
        <v>72.34</v>
      </c>
      <c r="F173" s="3">
        <v>45323</v>
      </c>
      <c r="G173" s="2">
        <v>5.0999999999999997E-2</v>
      </c>
      <c r="H173" s="2" t="str">
        <f>("10662671101744")</f>
        <v>10662671101744</v>
      </c>
      <c r="I173" s="2">
        <v>80</v>
      </c>
      <c r="J173" s="2">
        <v>5760</v>
      </c>
    </row>
    <row r="174" spans="1:10">
      <c r="A174" s="2" t="s">
        <v>10</v>
      </c>
      <c r="B174" s="2" t="str">
        <f>("662671101761")</f>
        <v>662671101761</v>
      </c>
      <c r="C174" s="2" t="s">
        <v>228</v>
      </c>
      <c r="D174" s="2" t="s">
        <v>229</v>
      </c>
      <c r="E174" s="2">
        <v>121.41</v>
      </c>
      <c r="F174" s="3">
        <v>45323</v>
      </c>
      <c r="G174" s="2">
        <v>6.9000000000000006E-2</v>
      </c>
      <c r="H174" s="2" t="str">
        <f>("10662671101768")</f>
        <v>10662671101768</v>
      </c>
      <c r="I174" s="2">
        <v>50</v>
      </c>
      <c r="J174" s="2">
        <v>3600</v>
      </c>
    </row>
    <row r="175" spans="1:10">
      <c r="A175" s="2" t="s">
        <v>10</v>
      </c>
      <c r="B175" s="2" t="str">
        <f>("662671101730")</f>
        <v>662671101730</v>
      </c>
      <c r="C175" s="2" t="s">
        <v>230</v>
      </c>
      <c r="D175" s="2" t="s">
        <v>231</v>
      </c>
      <c r="E175" s="2">
        <v>92.54</v>
      </c>
      <c r="F175" s="3">
        <v>45323</v>
      </c>
      <c r="G175" s="2">
        <v>6.3E-2</v>
      </c>
      <c r="H175" s="2" t="str">
        <f>("10662671101737")</f>
        <v>10662671101737</v>
      </c>
      <c r="I175" s="2">
        <v>50</v>
      </c>
      <c r="J175" s="2">
        <v>3600</v>
      </c>
    </row>
    <row r="176" spans="1:10">
      <c r="A176" s="2" t="s">
        <v>10</v>
      </c>
      <c r="B176" s="2" t="str">
        <f>("662671101778")</f>
        <v>662671101778</v>
      </c>
      <c r="C176" s="2">
        <v>102870</v>
      </c>
      <c r="D176" s="2" t="s">
        <v>232</v>
      </c>
      <c r="E176" s="2">
        <v>28.02</v>
      </c>
      <c r="F176" s="3">
        <v>45323</v>
      </c>
      <c r="G176" s="2">
        <v>2.3E-2</v>
      </c>
      <c r="H176" s="2" t="str">
        <f>("10662671101775")</f>
        <v>10662671101775</v>
      </c>
      <c r="I176" s="2">
        <v>125</v>
      </c>
      <c r="J176" s="2">
        <v>9000</v>
      </c>
    </row>
    <row r="177" spans="1:10">
      <c r="A177" s="2" t="s">
        <v>10</v>
      </c>
      <c r="B177" s="2" t="str">
        <f>("662671101785")</f>
        <v>662671101785</v>
      </c>
      <c r="C177" s="2">
        <v>102871</v>
      </c>
      <c r="D177" s="2" t="s">
        <v>233</v>
      </c>
      <c r="E177" s="2">
        <v>18.73</v>
      </c>
      <c r="F177" s="3">
        <v>45323</v>
      </c>
      <c r="G177" s="2">
        <v>2.7E-2</v>
      </c>
      <c r="H177" s="2" t="str">
        <f>("10662671101782")</f>
        <v>10662671101782</v>
      </c>
      <c r="I177" s="2">
        <v>125</v>
      </c>
      <c r="J177" s="2">
        <v>9000</v>
      </c>
    </row>
    <row r="178" spans="1:10">
      <c r="A178" s="2" t="s">
        <v>10</v>
      </c>
      <c r="B178" s="2" t="str">
        <f>("662671101808")</f>
        <v>662671101808</v>
      </c>
      <c r="C178" s="2">
        <v>102872</v>
      </c>
      <c r="D178" s="2" t="s">
        <v>234</v>
      </c>
      <c r="E178" s="2">
        <v>29.09</v>
      </c>
      <c r="F178" s="3">
        <v>45323</v>
      </c>
      <c r="G178" s="2">
        <v>3.3000000000000002E-2</v>
      </c>
      <c r="H178" s="2" t="str">
        <f>("10662671101805")</f>
        <v>10662671101805</v>
      </c>
      <c r="I178" s="2">
        <v>80</v>
      </c>
      <c r="J178" s="2">
        <v>5760</v>
      </c>
    </row>
    <row r="179" spans="1:10">
      <c r="A179" s="2" t="s">
        <v>10</v>
      </c>
      <c r="B179" s="2" t="str">
        <f>("662671101815")</f>
        <v>662671101815</v>
      </c>
      <c r="C179" s="2">
        <v>102873</v>
      </c>
      <c r="D179" s="2" t="s">
        <v>235</v>
      </c>
      <c r="E179" s="2">
        <v>72.92</v>
      </c>
      <c r="F179" s="3">
        <v>45323</v>
      </c>
      <c r="G179" s="2">
        <v>0.13300000000000001</v>
      </c>
      <c r="H179" s="2" t="str">
        <f>("10662671101812")</f>
        <v>10662671101812</v>
      </c>
      <c r="I179" s="2">
        <v>30</v>
      </c>
      <c r="J179" s="2">
        <v>2160</v>
      </c>
    </row>
    <row r="180" spans="1:10">
      <c r="A180" s="2" t="s">
        <v>10</v>
      </c>
      <c r="B180" s="2" t="str">
        <f>("662671101839")</f>
        <v>662671101839</v>
      </c>
      <c r="C180" s="2">
        <v>102874</v>
      </c>
      <c r="D180" s="2" t="s">
        <v>236</v>
      </c>
      <c r="E180" s="2">
        <v>214.62</v>
      </c>
      <c r="F180" s="3">
        <v>45323</v>
      </c>
      <c r="G180" s="2">
        <v>0.20799999999999999</v>
      </c>
      <c r="H180" s="2" t="str">
        <f>("10662671101836")</f>
        <v>10662671101836</v>
      </c>
      <c r="I180" s="2">
        <v>15</v>
      </c>
      <c r="J180" s="2">
        <v>1080</v>
      </c>
    </row>
    <row r="181" spans="1:10">
      <c r="A181" s="2" t="s">
        <v>10</v>
      </c>
      <c r="B181" s="2" t="str">
        <f>("662671109163")</f>
        <v>662671109163</v>
      </c>
      <c r="C181" s="2">
        <v>102876</v>
      </c>
      <c r="D181" s="2" t="s">
        <v>237</v>
      </c>
      <c r="E181" s="2">
        <v>879.55</v>
      </c>
      <c r="F181" s="3">
        <v>45323</v>
      </c>
      <c r="G181" s="2">
        <v>0.52900000000000003</v>
      </c>
      <c r="H181" s="2" t="str">
        <f>("10662671109160")</f>
        <v>10662671109160</v>
      </c>
      <c r="I181" s="2">
        <v>5</v>
      </c>
      <c r="J181" s="2">
        <v>240</v>
      </c>
    </row>
    <row r="182" spans="1:10">
      <c r="A182" s="2" t="s">
        <v>10</v>
      </c>
      <c r="B182" s="2" t="str">
        <f>("662671101846")</f>
        <v>662671101846</v>
      </c>
      <c r="C182" s="2">
        <v>102890</v>
      </c>
      <c r="D182" s="2" t="s">
        <v>238</v>
      </c>
      <c r="E182" s="2">
        <v>32</v>
      </c>
      <c r="F182" s="3">
        <v>45323</v>
      </c>
      <c r="G182" s="2">
        <v>3.3000000000000002E-2</v>
      </c>
      <c r="H182" s="2" t="str">
        <f>("10662671101843")</f>
        <v>10662671101843</v>
      </c>
      <c r="I182" s="2">
        <v>125</v>
      </c>
      <c r="J182" s="2">
        <v>9000</v>
      </c>
    </row>
    <row r="183" spans="1:10">
      <c r="A183" s="2" t="s">
        <v>10</v>
      </c>
      <c r="B183" s="2" t="str">
        <f>("662671101860")</f>
        <v>662671101860</v>
      </c>
      <c r="C183" s="2">
        <v>102891</v>
      </c>
      <c r="D183" s="2" t="s">
        <v>239</v>
      </c>
      <c r="E183" s="2">
        <v>21.34</v>
      </c>
      <c r="F183" s="3">
        <v>45323</v>
      </c>
      <c r="G183" s="2">
        <v>3.7999999999999999E-2</v>
      </c>
      <c r="H183" s="2" t="str">
        <f>("10662671101867")</f>
        <v>10662671101867</v>
      </c>
      <c r="I183" s="2">
        <v>100</v>
      </c>
      <c r="J183" s="2">
        <v>7200</v>
      </c>
    </row>
    <row r="184" spans="1:10">
      <c r="A184" s="2" t="s">
        <v>10</v>
      </c>
      <c r="B184" s="2" t="str">
        <f>("662671101877")</f>
        <v>662671101877</v>
      </c>
      <c r="C184" s="2" t="s">
        <v>240</v>
      </c>
      <c r="D184" s="2" t="s">
        <v>241</v>
      </c>
      <c r="E184" s="2">
        <v>53</v>
      </c>
      <c r="F184" s="3">
        <v>45323</v>
      </c>
      <c r="G184" s="2">
        <v>9.2999999999999999E-2</v>
      </c>
      <c r="H184" s="2" t="str">
        <f>("10662671101874")</f>
        <v>10662671101874</v>
      </c>
      <c r="I184" s="2">
        <v>75</v>
      </c>
      <c r="J184" s="2">
        <v>5400</v>
      </c>
    </row>
    <row r="185" spans="1:10">
      <c r="A185" s="2" t="s">
        <v>10</v>
      </c>
      <c r="B185" s="2" t="str">
        <f>("662671101884")</f>
        <v>662671101884</v>
      </c>
      <c r="C185" s="2">
        <v>102892</v>
      </c>
      <c r="D185" s="2" t="s">
        <v>242</v>
      </c>
      <c r="E185" s="2">
        <v>41.64</v>
      </c>
      <c r="F185" s="3">
        <v>45323</v>
      </c>
      <c r="G185" s="2">
        <v>0.05</v>
      </c>
      <c r="H185" s="2" t="str">
        <f>("10662671101881")</f>
        <v>10662671101881</v>
      </c>
      <c r="I185" s="2">
        <v>75</v>
      </c>
      <c r="J185" s="2">
        <v>5400</v>
      </c>
    </row>
    <row r="186" spans="1:10">
      <c r="A186" s="2" t="s">
        <v>10</v>
      </c>
      <c r="B186" s="2" t="str">
        <f>("662671101891")</f>
        <v>662671101891</v>
      </c>
      <c r="C186" s="2" t="s">
        <v>243</v>
      </c>
      <c r="D186" s="2" t="s">
        <v>244</v>
      </c>
      <c r="E186" s="2">
        <v>77.989999999999995</v>
      </c>
      <c r="F186" s="3">
        <v>45323</v>
      </c>
      <c r="G186" s="2">
        <v>8.5999999999999993E-2</v>
      </c>
      <c r="H186" s="2" t="str">
        <f>("20662671101895")</f>
        <v>20662671101895</v>
      </c>
      <c r="I186" s="2">
        <v>50</v>
      </c>
      <c r="J186" s="2">
        <v>3600</v>
      </c>
    </row>
    <row r="187" spans="1:10">
      <c r="A187" s="2" t="s">
        <v>10</v>
      </c>
      <c r="B187" s="2" t="str">
        <f>("662671101907")</f>
        <v>662671101907</v>
      </c>
      <c r="C187" s="2">
        <v>102893</v>
      </c>
      <c r="D187" s="2" t="s">
        <v>245</v>
      </c>
      <c r="E187" s="2">
        <v>75.650000000000006</v>
      </c>
      <c r="F187" s="3">
        <v>45323</v>
      </c>
      <c r="G187" s="2">
        <v>0.16900000000000001</v>
      </c>
      <c r="H187" s="2" t="str">
        <f>("10662671101904")</f>
        <v>10662671101904</v>
      </c>
      <c r="I187" s="2">
        <v>30</v>
      </c>
      <c r="J187" s="2">
        <v>1440</v>
      </c>
    </row>
    <row r="188" spans="1:10">
      <c r="A188" s="2" t="s">
        <v>10</v>
      </c>
      <c r="B188" s="2" t="str">
        <f>("662671101914")</f>
        <v>662671101914</v>
      </c>
      <c r="C188" s="2" t="s">
        <v>246</v>
      </c>
      <c r="D188" s="2" t="s">
        <v>247</v>
      </c>
      <c r="E188" s="2">
        <v>138.79</v>
      </c>
      <c r="F188" s="3">
        <v>45323</v>
      </c>
      <c r="G188" s="2">
        <v>0.26200000000000001</v>
      </c>
      <c r="H188" s="2" t="str">
        <f>("10662671101911")</f>
        <v>10662671101911</v>
      </c>
      <c r="I188" s="2">
        <v>30</v>
      </c>
      <c r="J188" s="2">
        <v>1440</v>
      </c>
    </row>
    <row r="189" spans="1:10">
      <c r="A189" s="2" t="s">
        <v>10</v>
      </c>
      <c r="B189" s="2" t="str">
        <f>("662671101921")</f>
        <v>662671101921</v>
      </c>
      <c r="C189" s="2">
        <v>102894</v>
      </c>
      <c r="D189" s="2" t="s">
        <v>248</v>
      </c>
      <c r="E189" s="2">
        <v>178.49</v>
      </c>
      <c r="F189" s="3">
        <v>45323</v>
      </c>
      <c r="G189" s="2">
        <v>0.25700000000000001</v>
      </c>
      <c r="H189" s="2" t="str">
        <f>("10662671101928")</f>
        <v>10662671101928</v>
      </c>
      <c r="I189" s="2">
        <v>25</v>
      </c>
      <c r="J189" s="2">
        <v>800</v>
      </c>
    </row>
    <row r="190" spans="1:10">
      <c r="A190" s="2" t="s">
        <v>10</v>
      </c>
      <c r="B190" s="2" t="str">
        <f>("662671101938")</f>
        <v>662671101938</v>
      </c>
      <c r="C190" s="2" t="s">
        <v>249</v>
      </c>
      <c r="D190" s="2" t="s">
        <v>250</v>
      </c>
      <c r="E190" s="2">
        <v>300.39999999999998</v>
      </c>
      <c r="F190" s="3">
        <v>45323</v>
      </c>
      <c r="G190" s="2">
        <v>0.40300000000000002</v>
      </c>
      <c r="H190" s="2" t="str">
        <f>("10662671101935")</f>
        <v>10662671101935</v>
      </c>
      <c r="I190" s="2">
        <v>20</v>
      </c>
      <c r="J190" s="2">
        <v>640</v>
      </c>
    </row>
    <row r="191" spans="1:10">
      <c r="A191" s="2" t="s">
        <v>10</v>
      </c>
      <c r="B191" s="2" t="str">
        <f>("662671101945")</f>
        <v>662671101945</v>
      </c>
      <c r="C191" s="2">
        <v>102896</v>
      </c>
      <c r="D191" s="2" t="s">
        <v>251</v>
      </c>
      <c r="E191" s="2">
        <v>731.48</v>
      </c>
      <c r="F191" s="3">
        <v>45323</v>
      </c>
      <c r="G191" s="2">
        <v>0.51400000000000001</v>
      </c>
      <c r="H191" s="2" t="str">
        <f>("10662671101942")</f>
        <v>10662671101942</v>
      </c>
      <c r="I191" s="2">
        <v>8</v>
      </c>
      <c r="J191" s="2">
        <v>256</v>
      </c>
    </row>
    <row r="192" spans="1:10">
      <c r="A192" s="2" t="s">
        <v>10</v>
      </c>
      <c r="B192" s="2" t="str">
        <f>("662671101952")</f>
        <v>662671101952</v>
      </c>
      <c r="C192" s="2">
        <v>103000</v>
      </c>
      <c r="D192" s="2" t="s">
        <v>252</v>
      </c>
      <c r="E192" s="2">
        <v>26.03</v>
      </c>
      <c r="F192" s="3">
        <v>45323</v>
      </c>
      <c r="G192" s="2">
        <v>2.5000000000000001E-2</v>
      </c>
      <c r="H192" s="2" t="str">
        <f>("10662671101959")</f>
        <v>10662671101959</v>
      </c>
      <c r="I192" s="2">
        <v>125</v>
      </c>
      <c r="J192" s="2">
        <v>9000</v>
      </c>
    </row>
    <row r="193" spans="1:10">
      <c r="A193" s="2" t="s">
        <v>10</v>
      </c>
      <c r="B193" s="2" t="str">
        <f>("662671101969")</f>
        <v>662671101969</v>
      </c>
      <c r="C193" s="2">
        <v>103001</v>
      </c>
      <c r="D193" s="2" t="s">
        <v>253</v>
      </c>
      <c r="E193" s="2">
        <v>11.48</v>
      </c>
      <c r="F193" s="3">
        <v>45323</v>
      </c>
      <c r="G193" s="2">
        <v>2.8000000000000001E-2</v>
      </c>
      <c r="H193" s="2" t="str">
        <f>("10662671101966")</f>
        <v>10662671101966</v>
      </c>
      <c r="I193" s="2">
        <v>125</v>
      </c>
      <c r="J193" s="2">
        <v>9000</v>
      </c>
    </row>
    <row r="194" spans="1:10">
      <c r="A194" s="2" t="s">
        <v>10</v>
      </c>
      <c r="B194" s="2" t="str">
        <f>("662671108357")</f>
        <v>662671108357</v>
      </c>
      <c r="C194" s="2" t="s">
        <v>254</v>
      </c>
      <c r="D194" s="2" t="s">
        <v>255</v>
      </c>
      <c r="E194" s="2">
        <v>12.05</v>
      </c>
      <c r="F194" s="3">
        <v>45323</v>
      </c>
      <c r="G194" s="2">
        <v>2.8000000000000001E-2</v>
      </c>
      <c r="H194" s="2" t="str">
        <f>("10662671108354")</f>
        <v>10662671108354</v>
      </c>
      <c r="I194" s="2">
        <v>60</v>
      </c>
      <c r="J194" s="2">
        <v>8640</v>
      </c>
    </row>
    <row r="195" spans="1:10">
      <c r="A195" s="2" t="s">
        <v>10</v>
      </c>
      <c r="B195" s="2" t="str">
        <f>("662671101983")</f>
        <v>662671101983</v>
      </c>
      <c r="C195" s="2">
        <v>103002</v>
      </c>
      <c r="D195" s="2" t="s">
        <v>256</v>
      </c>
      <c r="E195" s="2">
        <v>17.71</v>
      </c>
      <c r="F195" s="3">
        <v>45323</v>
      </c>
      <c r="G195" s="2">
        <v>3.7999999999999999E-2</v>
      </c>
      <c r="H195" s="2" t="str">
        <f>("10662671101980")</f>
        <v>10662671101980</v>
      </c>
      <c r="I195" s="2">
        <v>100</v>
      </c>
      <c r="J195" s="2">
        <v>4800</v>
      </c>
    </row>
    <row r="196" spans="1:10">
      <c r="A196" s="2" t="s">
        <v>10</v>
      </c>
      <c r="B196" s="2" t="str">
        <f>("662671107817")</f>
        <v>662671107817</v>
      </c>
      <c r="C196" s="2" t="s">
        <v>257</v>
      </c>
      <c r="D196" s="2" t="s">
        <v>258</v>
      </c>
      <c r="E196" s="2">
        <v>19.45</v>
      </c>
      <c r="F196" s="3">
        <v>45323</v>
      </c>
      <c r="G196" s="2">
        <v>3.6999999999999998E-2</v>
      </c>
      <c r="H196" s="2" t="str">
        <f>("10662671107814")</f>
        <v>10662671107814</v>
      </c>
      <c r="I196" s="2">
        <v>75</v>
      </c>
      <c r="J196" s="2">
        <v>5400</v>
      </c>
    </row>
    <row r="197" spans="1:10">
      <c r="A197" s="2" t="s">
        <v>10</v>
      </c>
      <c r="B197" s="2" t="str">
        <f>("662671102003")</f>
        <v>662671102003</v>
      </c>
      <c r="C197" s="2">
        <v>103003</v>
      </c>
      <c r="D197" s="2" t="s">
        <v>259</v>
      </c>
      <c r="E197" s="2">
        <v>42.99</v>
      </c>
      <c r="F197" s="3">
        <v>45323</v>
      </c>
      <c r="G197" s="2">
        <v>0.14799999999999999</v>
      </c>
      <c r="H197" s="2" t="str">
        <f>("10662671102000")</f>
        <v>10662671102000</v>
      </c>
      <c r="I197" s="2">
        <v>45</v>
      </c>
      <c r="J197" s="2">
        <v>1440</v>
      </c>
    </row>
    <row r="198" spans="1:10">
      <c r="A198" s="2" t="s">
        <v>10</v>
      </c>
      <c r="B198" s="2" t="str">
        <f>("662671108340")</f>
        <v>662671108340</v>
      </c>
      <c r="C198" s="2" t="s">
        <v>260</v>
      </c>
      <c r="D198" s="2" t="s">
        <v>261</v>
      </c>
      <c r="E198" s="2">
        <v>43.54</v>
      </c>
      <c r="F198" s="3">
        <v>45323</v>
      </c>
      <c r="G198" s="2">
        <v>0.14899999999999999</v>
      </c>
      <c r="H198" s="2" t="str">
        <f>("10662671108347")</f>
        <v>10662671108347</v>
      </c>
      <c r="I198" s="2">
        <v>45</v>
      </c>
      <c r="J198" s="2">
        <v>1440</v>
      </c>
    </row>
    <row r="199" spans="1:10">
      <c r="A199" s="2" t="s">
        <v>10</v>
      </c>
      <c r="B199" s="2" t="str">
        <f>("662671102027")</f>
        <v>662671102027</v>
      </c>
      <c r="C199" s="2">
        <v>103004</v>
      </c>
      <c r="D199" s="2" t="s">
        <v>262</v>
      </c>
      <c r="E199" s="2">
        <v>81.150000000000006</v>
      </c>
      <c r="F199" s="3">
        <v>45323</v>
      </c>
      <c r="G199" s="2">
        <v>0.25600000000000001</v>
      </c>
      <c r="H199" s="2" t="str">
        <f>("10662671102024")</f>
        <v>10662671102024</v>
      </c>
      <c r="I199" s="2">
        <v>25</v>
      </c>
      <c r="J199" s="2">
        <v>800</v>
      </c>
    </row>
    <row r="200" spans="1:10">
      <c r="A200" s="2" t="s">
        <v>10</v>
      </c>
      <c r="B200" s="2" t="str">
        <f>("662671108364")</f>
        <v>662671108364</v>
      </c>
      <c r="C200" s="2" t="s">
        <v>263</v>
      </c>
      <c r="D200" s="2" t="s">
        <v>264</v>
      </c>
      <c r="E200" s="2">
        <v>76.83</v>
      </c>
      <c r="F200" s="3">
        <v>45323</v>
      </c>
      <c r="G200" s="2">
        <v>0.254</v>
      </c>
      <c r="H200" s="2" t="str">
        <f>("10662671108361")</f>
        <v>10662671108361</v>
      </c>
      <c r="I200" s="2">
        <v>45</v>
      </c>
      <c r="J200" s="2">
        <v>810</v>
      </c>
    </row>
    <row r="201" spans="1:10">
      <c r="A201" s="2" t="s">
        <v>10</v>
      </c>
      <c r="B201" s="2" t="str">
        <f>("662671102041")</f>
        <v>662671102041</v>
      </c>
      <c r="C201" s="2">
        <v>103006</v>
      </c>
      <c r="D201" s="2" t="s">
        <v>265</v>
      </c>
      <c r="E201" s="2">
        <v>473.14</v>
      </c>
      <c r="F201" s="3">
        <v>45323</v>
      </c>
      <c r="G201" s="2">
        <v>0.72899999999999998</v>
      </c>
      <c r="H201" s="2" t="str">
        <f>("10662671102048")</f>
        <v>10662671102048</v>
      </c>
      <c r="I201" s="2">
        <v>12</v>
      </c>
      <c r="J201" s="2">
        <v>216</v>
      </c>
    </row>
    <row r="202" spans="1:10">
      <c r="A202" s="2" t="s">
        <v>10</v>
      </c>
      <c r="B202" s="2" t="str">
        <f>("662671102058")</f>
        <v>662671102058</v>
      </c>
      <c r="C202" s="2">
        <v>103020</v>
      </c>
      <c r="D202" s="2" t="s">
        <v>266</v>
      </c>
      <c r="E202" s="2">
        <v>36.49</v>
      </c>
      <c r="F202" s="3">
        <v>45323</v>
      </c>
      <c r="G202" s="2">
        <v>3.5000000000000003E-2</v>
      </c>
      <c r="H202" s="2" t="str">
        <f>("10662671102055")</f>
        <v>10662671102055</v>
      </c>
      <c r="I202" s="2">
        <v>125</v>
      </c>
      <c r="J202" s="2">
        <v>9000</v>
      </c>
    </row>
    <row r="203" spans="1:10">
      <c r="A203" s="2" t="s">
        <v>10</v>
      </c>
      <c r="B203" s="2" t="str">
        <f>("662671102065")</f>
        <v>662671102065</v>
      </c>
      <c r="C203" s="2">
        <v>103021</v>
      </c>
      <c r="D203" s="2" t="s">
        <v>267</v>
      </c>
      <c r="E203" s="2">
        <v>60.58</v>
      </c>
      <c r="F203" s="3">
        <v>45323</v>
      </c>
      <c r="G203" s="2">
        <v>0.04</v>
      </c>
      <c r="H203" s="2" t="str">
        <f>("10662671102062")</f>
        <v>10662671102062</v>
      </c>
      <c r="I203" s="2">
        <v>45</v>
      </c>
      <c r="J203" s="2">
        <v>6480</v>
      </c>
    </row>
    <row r="204" spans="1:10">
      <c r="A204" s="2" t="s">
        <v>10</v>
      </c>
      <c r="B204" s="2" t="str">
        <f>("662671102072")</f>
        <v>662671102072</v>
      </c>
      <c r="C204" s="2">
        <v>103022</v>
      </c>
      <c r="D204" s="2" t="s">
        <v>268</v>
      </c>
      <c r="E204" s="2">
        <v>31.58</v>
      </c>
      <c r="F204" s="3">
        <v>45323</v>
      </c>
      <c r="G204" s="2">
        <v>4.5999999999999999E-2</v>
      </c>
      <c r="H204" s="2" t="str">
        <f>("10662671102079")</f>
        <v>10662671102079</v>
      </c>
      <c r="I204" s="2">
        <v>75</v>
      </c>
      <c r="J204" s="2">
        <v>5400</v>
      </c>
    </row>
    <row r="205" spans="1:10">
      <c r="A205" s="2" t="s">
        <v>10</v>
      </c>
      <c r="B205" s="2" t="str">
        <f>("662671102096")</f>
        <v>662671102096</v>
      </c>
      <c r="C205" s="2">
        <v>103023</v>
      </c>
      <c r="D205" s="2" t="s">
        <v>269</v>
      </c>
      <c r="E205" s="2">
        <v>75.849999999999994</v>
      </c>
      <c r="F205" s="3">
        <v>45323</v>
      </c>
      <c r="G205" s="2">
        <v>0.13100000000000001</v>
      </c>
      <c r="H205" s="2" t="str">
        <f>("10662671102093")</f>
        <v>10662671102093</v>
      </c>
      <c r="I205" s="2">
        <v>35</v>
      </c>
      <c r="J205" s="2">
        <v>2520</v>
      </c>
    </row>
    <row r="206" spans="1:10">
      <c r="A206" s="2" t="s">
        <v>10</v>
      </c>
      <c r="B206" s="2" t="str">
        <f>("662671102102")</f>
        <v>662671102102</v>
      </c>
      <c r="C206" s="2">
        <v>103024</v>
      </c>
      <c r="D206" s="2" t="s">
        <v>270</v>
      </c>
      <c r="E206" s="2">
        <v>71.06</v>
      </c>
      <c r="F206" s="3">
        <v>45323</v>
      </c>
      <c r="G206" s="2">
        <v>0.125</v>
      </c>
      <c r="H206" s="2" t="str">
        <f>("10662671102109")</f>
        <v>10662671102109</v>
      </c>
      <c r="I206" s="2">
        <v>35</v>
      </c>
      <c r="J206" s="2">
        <v>2520</v>
      </c>
    </row>
    <row r="207" spans="1:10">
      <c r="A207" s="2" t="s">
        <v>10</v>
      </c>
      <c r="B207" s="2" t="str">
        <f>("662671102119")</f>
        <v>662671102119</v>
      </c>
      <c r="C207" s="2">
        <v>103025</v>
      </c>
      <c r="D207" s="2" t="s">
        <v>271</v>
      </c>
      <c r="E207" s="2">
        <v>114.95</v>
      </c>
      <c r="F207" s="3">
        <v>45323</v>
      </c>
      <c r="G207" s="2">
        <v>0.23300000000000001</v>
      </c>
      <c r="H207" s="2" t="str">
        <f>("10662671102116")</f>
        <v>10662671102116</v>
      </c>
      <c r="I207" s="2">
        <v>20</v>
      </c>
      <c r="J207" s="2">
        <v>960</v>
      </c>
    </row>
    <row r="208" spans="1:10">
      <c r="A208" s="2" t="s">
        <v>10</v>
      </c>
      <c r="B208" s="2" t="str">
        <f>("662671102126")</f>
        <v>662671102126</v>
      </c>
      <c r="C208" s="2">
        <v>103026</v>
      </c>
      <c r="D208" s="2" t="s">
        <v>272</v>
      </c>
      <c r="E208" s="2">
        <v>99.97</v>
      </c>
      <c r="F208" s="3">
        <v>45323</v>
      </c>
      <c r="G208" s="2">
        <v>0.23100000000000001</v>
      </c>
      <c r="H208" s="2" t="str">
        <f>("10662671102123")</f>
        <v>10662671102123</v>
      </c>
      <c r="I208" s="2">
        <v>30</v>
      </c>
      <c r="J208" s="2">
        <v>960</v>
      </c>
    </row>
    <row r="209" spans="1:10">
      <c r="A209" s="2" t="s">
        <v>10</v>
      </c>
      <c r="B209" s="2" t="str">
        <f>("662671102140")</f>
        <v>662671102140</v>
      </c>
      <c r="C209" s="2">
        <v>103029</v>
      </c>
      <c r="D209" s="2" t="s">
        <v>273</v>
      </c>
      <c r="E209" s="2">
        <v>114.95</v>
      </c>
      <c r="F209" s="3">
        <v>45323</v>
      </c>
      <c r="G209" s="2">
        <v>0.24299999999999999</v>
      </c>
      <c r="H209" s="2" t="str">
        <f>("10662671102147")</f>
        <v>10662671102147</v>
      </c>
      <c r="I209" s="2">
        <v>20</v>
      </c>
      <c r="J209" s="2">
        <v>960</v>
      </c>
    </row>
    <row r="210" spans="1:10">
      <c r="A210" s="2" t="s">
        <v>10</v>
      </c>
      <c r="B210" s="2" t="str">
        <f>("662671102157")</f>
        <v>662671102157</v>
      </c>
      <c r="C210" s="2">
        <v>103030</v>
      </c>
      <c r="D210" s="2" t="s">
        <v>274</v>
      </c>
      <c r="E210" s="2">
        <v>78.72</v>
      </c>
      <c r="F210" s="3">
        <v>45323</v>
      </c>
      <c r="G210" s="2">
        <v>0.13400000000000001</v>
      </c>
      <c r="H210" s="2" t="str">
        <f>("10662671102154")</f>
        <v>10662671102154</v>
      </c>
      <c r="I210" s="2">
        <v>35</v>
      </c>
      <c r="J210" s="2">
        <v>2520</v>
      </c>
    </row>
    <row r="211" spans="1:10">
      <c r="A211" s="2" t="s">
        <v>10</v>
      </c>
      <c r="B211" s="2" t="str">
        <f>("662671102164")</f>
        <v>662671102164</v>
      </c>
      <c r="C211" s="2">
        <v>103036</v>
      </c>
      <c r="D211" s="2" t="s">
        <v>275</v>
      </c>
      <c r="E211" s="2">
        <v>135.97</v>
      </c>
      <c r="F211" s="3">
        <v>45323</v>
      </c>
      <c r="G211" s="2">
        <v>0.16200000000000001</v>
      </c>
      <c r="H211" s="2" t="str">
        <f>("10662671102161")</f>
        <v>10662671102161</v>
      </c>
      <c r="I211" s="2">
        <v>25</v>
      </c>
      <c r="J211" s="2">
        <v>1200</v>
      </c>
    </row>
    <row r="212" spans="1:10">
      <c r="A212" s="2" t="s">
        <v>10</v>
      </c>
      <c r="B212" s="2" t="str">
        <f>("662671109330")</f>
        <v>662671109330</v>
      </c>
      <c r="C212" s="2">
        <v>103037</v>
      </c>
      <c r="D212" s="2" t="s">
        <v>276</v>
      </c>
      <c r="E212" s="2">
        <v>182.65</v>
      </c>
      <c r="F212" s="3">
        <v>45323</v>
      </c>
      <c r="G212" s="2">
        <v>0.66400000000000003</v>
      </c>
      <c r="H212" s="2" t="str">
        <f>("10662671109337")</f>
        <v>10662671109337</v>
      </c>
      <c r="I212" s="2">
        <v>20</v>
      </c>
      <c r="J212" s="2">
        <v>360</v>
      </c>
    </row>
    <row r="213" spans="1:10">
      <c r="A213" s="2" t="s">
        <v>10</v>
      </c>
      <c r="B213" s="2" t="str">
        <f>("662671109439")</f>
        <v>662671109439</v>
      </c>
      <c r="C213" s="2" t="s">
        <v>277</v>
      </c>
      <c r="D213" s="2" t="s">
        <v>278</v>
      </c>
      <c r="E213" s="2">
        <v>43.63</v>
      </c>
      <c r="F213" s="3">
        <v>45323</v>
      </c>
      <c r="G213" s="2">
        <v>1.9E-2</v>
      </c>
      <c r="H213" s="2" t="str">
        <f>("20662671109433")</f>
        <v>20662671109433</v>
      </c>
      <c r="I213" s="2">
        <v>500</v>
      </c>
      <c r="J213" s="2">
        <v>24000</v>
      </c>
    </row>
    <row r="214" spans="1:10">
      <c r="A214" s="2" t="s">
        <v>10</v>
      </c>
      <c r="B214" s="2" t="str">
        <f>("662671103406")</f>
        <v>662671103406</v>
      </c>
      <c r="C214" s="2">
        <v>103047</v>
      </c>
      <c r="D214" s="2" t="s">
        <v>279</v>
      </c>
      <c r="E214" s="2">
        <v>34.56</v>
      </c>
      <c r="F214" s="3">
        <v>45323</v>
      </c>
      <c r="G214" s="2">
        <v>7.0000000000000001E-3</v>
      </c>
      <c r="H214" s="2" t="str">
        <f>("90662671103409")</f>
        <v>90662671103409</v>
      </c>
      <c r="I214" s="2">
        <v>0</v>
      </c>
    </row>
    <row r="215" spans="1:10">
      <c r="A215" s="2" t="s">
        <v>10</v>
      </c>
      <c r="B215" s="2" t="str">
        <f>("662671102195")</f>
        <v>662671102195</v>
      </c>
      <c r="C215" s="2">
        <v>103050</v>
      </c>
      <c r="D215" s="2" t="s">
        <v>280</v>
      </c>
      <c r="E215" s="2">
        <v>34.56</v>
      </c>
      <c r="F215" s="3">
        <v>45323</v>
      </c>
      <c r="G215" s="2">
        <v>2.1999999999999999E-2</v>
      </c>
      <c r="H215" s="2" t="str">
        <f>("10662671102192")</f>
        <v>10662671102192</v>
      </c>
      <c r="I215" s="2">
        <v>130</v>
      </c>
      <c r="J215" s="2">
        <v>18720</v>
      </c>
    </row>
    <row r="216" spans="1:10">
      <c r="A216" s="2" t="s">
        <v>10</v>
      </c>
      <c r="B216" s="2" t="str">
        <f>("662671102218")</f>
        <v>662671102218</v>
      </c>
      <c r="C216" s="2">
        <v>103051</v>
      </c>
      <c r="D216" s="2" t="s">
        <v>281</v>
      </c>
      <c r="E216" s="2">
        <v>24.15</v>
      </c>
      <c r="F216" s="3">
        <v>45323</v>
      </c>
      <c r="G216" s="2">
        <v>2.5000000000000001E-2</v>
      </c>
      <c r="H216" s="2" t="str">
        <f>("10662671102215")</f>
        <v>10662671102215</v>
      </c>
      <c r="I216" s="2">
        <v>100</v>
      </c>
      <c r="J216" s="2">
        <v>14400</v>
      </c>
    </row>
    <row r="217" spans="1:10">
      <c r="A217" s="2" t="s">
        <v>10</v>
      </c>
      <c r="B217" s="2" t="str">
        <f>("662671102232")</f>
        <v>662671102232</v>
      </c>
      <c r="C217" s="2">
        <v>103052</v>
      </c>
      <c r="D217" s="2" t="s">
        <v>282</v>
      </c>
      <c r="E217" s="2">
        <v>31.02</v>
      </c>
      <c r="F217" s="3">
        <v>45323</v>
      </c>
      <c r="G217" s="2">
        <v>3.6999999999999998E-2</v>
      </c>
      <c r="H217" s="2" t="str">
        <f>("10662671102239")</f>
        <v>10662671102239</v>
      </c>
      <c r="I217" s="2">
        <v>150</v>
      </c>
      <c r="J217" s="2">
        <v>10800</v>
      </c>
    </row>
    <row r="218" spans="1:10">
      <c r="A218" s="2" t="s">
        <v>10</v>
      </c>
      <c r="B218" s="2" t="str">
        <f>("662671102256")</f>
        <v>662671102256</v>
      </c>
      <c r="C218" s="2">
        <v>103053</v>
      </c>
      <c r="D218" s="2" t="s">
        <v>283</v>
      </c>
      <c r="E218" s="2">
        <v>43.61</v>
      </c>
      <c r="F218" s="3">
        <v>45323</v>
      </c>
      <c r="G218" s="2">
        <v>9.7000000000000003E-2</v>
      </c>
      <c r="H218" s="2" t="str">
        <f>("10662671102253")</f>
        <v>10662671102253</v>
      </c>
      <c r="I218" s="2">
        <v>25</v>
      </c>
      <c r="J218" s="2">
        <v>3600</v>
      </c>
    </row>
    <row r="219" spans="1:10">
      <c r="A219" s="2" t="s">
        <v>10</v>
      </c>
      <c r="B219" s="2" t="str">
        <f>("662671102263")</f>
        <v>662671102263</v>
      </c>
      <c r="C219" s="2">
        <v>103054</v>
      </c>
      <c r="D219" s="2" t="s">
        <v>284</v>
      </c>
      <c r="E219" s="2">
        <v>88.84</v>
      </c>
      <c r="F219" s="3">
        <v>45323</v>
      </c>
      <c r="G219" s="2">
        <v>0.14799999999999999</v>
      </c>
      <c r="H219" s="2" t="str">
        <f>("10662671102260")</f>
        <v>10662671102260</v>
      </c>
      <c r="I219" s="2">
        <v>35</v>
      </c>
      <c r="J219" s="2">
        <v>2520</v>
      </c>
    </row>
    <row r="220" spans="1:10">
      <c r="A220" s="2" t="s">
        <v>10</v>
      </c>
      <c r="B220" s="2" t="str">
        <f>("662671102270")</f>
        <v>662671102270</v>
      </c>
      <c r="C220" s="2" t="s">
        <v>285</v>
      </c>
      <c r="D220" s="2" t="s">
        <v>286</v>
      </c>
      <c r="E220" s="2">
        <v>375.6</v>
      </c>
      <c r="F220" s="3">
        <v>45323</v>
      </c>
      <c r="G220" s="2">
        <v>0.32200000000000001</v>
      </c>
      <c r="H220" s="2" t="str">
        <f>("20662671102274")</f>
        <v>20662671102274</v>
      </c>
      <c r="I220" s="2">
        <v>20</v>
      </c>
      <c r="J220" s="2">
        <v>960</v>
      </c>
    </row>
    <row r="221" spans="1:10">
      <c r="A221" s="2" t="s">
        <v>10</v>
      </c>
      <c r="B221" s="2" t="str">
        <f>("662671109972")</f>
        <v>662671109972</v>
      </c>
      <c r="C221" s="2">
        <v>103044</v>
      </c>
      <c r="D221" s="2" t="s">
        <v>287</v>
      </c>
      <c r="E221" s="2">
        <v>43.63</v>
      </c>
      <c r="F221" s="3">
        <v>45323</v>
      </c>
      <c r="G221" s="2">
        <v>0.01</v>
      </c>
      <c r="H221" s="2" t="str">
        <f>("10662671109979")</f>
        <v>10662671109979</v>
      </c>
      <c r="I221" s="2">
        <v>300</v>
      </c>
      <c r="J221" s="2">
        <v>43200</v>
      </c>
    </row>
    <row r="222" spans="1:10">
      <c r="A222" s="2" t="s">
        <v>10</v>
      </c>
      <c r="B222" s="2" t="str">
        <f>("662671107992")</f>
        <v>662671107992</v>
      </c>
      <c r="C222" s="2">
        <v>103062</v>
      </c>
      <c r="D222" s="2" t="s">
        <v>288</v>
      </c>
      <c r="E222" s="2">
        <v>68.94</v>
      </c>
      <c r="F222" s="3">
        <v>45323</v>
      </c>
      <c r="G222" s="2">
        <v>2.9000000000000001E-2</v>
      </c>
      <c r="H222" s="2" t="str">
        <f>("10662671107999")</f>
        <v>10662671107999</v>
      </c>
      <c r="I222" s="2">
        <v>150</v>
      </c>
      <c r="J222" s="2">
        <v>21600</v>
      </c>
    </row>
    <row r="223" spans="1:10">
      <c r="A223" s="2" t="s">
        <v>10</v>
      </c>
      <c r="B223" s="2" t="str">
        <f>("662671108005")</f>
        <v>662671108005</v>
      </c>
      <c r="C223" s="2">
        <v>103063</v>
      </c>
      <c r="D223" s="2" t="s">
        <v>289</v>
      </c>
      <c r="E223" s="2">
        <v>84.54</v>
      </c>
      <c r="F223" s="3">
        <v>45323</v>
      </c>
      <c r="G223" s="2">
        <v>4.9000000000000002E-2</v>
      </c>
      <c r="H223" s="2" t="str">
        <f>("10662671108002")</f>
        <v>10662671108002</v>
      </c>
      <c r="I223" s="2">
        <v>50</v>
      </c>
      <c r="J223" s="2">
        <v>7200</v>
      </c>
    </row>
    <row r="224" spans="1:10">
      <c r="A224" s="2" t="s">
        <v>10</v>
      </c>
      <c r="B224" s="2" t="str">
        <f>("662671108685")</f>
        <v>662671108685</v>
      </c>
      <c r="C224" s="2">
        <v>103064</v>
      </c>
      <c r="D224" s="2" t="s">
        <v>290</v>
      </c>
      <c r="E224" s="2">
        <v>88.84</v>
      </c>
      <c r="F224" s="3">
        <v>45323</v>
      </c>
      <c r="G224" s="2">
        <v>0.114</v>
      </c>
      <c r="H224" s="2" t="str">
        <f>("10662671108682")</f>
        <v>10662671108682</v>
      </c>
      <c r="I224" s="2">
        <v>60</v>
      </c>
      <c r="J224" s="2">
        <v>4320</v>
      </c>
    </row>
    <row r="225" spans="1:10">
      <c r="A225" s="2" t="s">
        <v>10</v>
      </c>
      <c r="B225" s="2" t="str">
        <f>("662671107398")</f>
        <v>662671107398</v>
      </c>
      <c r="C225" s="2">
        <v>103066</v>
      </c>
      <c r="D225" s="2" t="s">
        <v>291</v>
      </c>
      <c r="E225" s="2">
        <v>375.6</v>
      </c>
      <c r="F225" s="3">
        <v>45323</v>
      </c>
      <c r="G225" s="2">
        <v>0.31</v>
      </c>
      <c r="H225" s="2" t="str">
        <f>("10662671107395")</f>
        <v>10662671107395</v>
      </c>
      <c r="I225" s="2">
        <v>10</v>
      </c>
      <c r="J225" s="2">
        <v>1440</v>
      </c>
    </row>
    <row r="226" spans="1:10">
      <c r="A226" s="2" t="s">
        <v>10</v>
      </c>
      <c r="B226" s="2" t="str">
        <f>("662671102287")</f>
        <v>662671102287</v>
      </c>
      <c r="C226" s="2">
        <v>103080</v>
      </c>
      <c r="D226" s="2" t="s">
        <v>292</v>
      </c>
      <c r="E226" s="2">
        <v>38.57</v>
      </c>
      <c r="F226" s="3">
        <v>45323</v>
      </c>
      <c r="G226" s="2">
        <v>2.1999999999999999E-2</v>
      </c>
      <c r="H226" s="2" t="str">
        <f>("10662671102284")</f>
        <v>10662671102284</v>
      </c>
      <c r="I226" s="2">
        <v>120</v>
      </c>
      <c r="J226" s="2">
        <v>17280</v>
      </c>
    </row>
    <row r="227" spans="1:10">
      <c r="A227" s="2" t="s">
        <v>10</v>
      </c>
      <c r="B227" s="2" t="str">
        <f>("662671102294")</f>
        <v>662671102294</v>
      </c>
      <c r="C227" s="2">
        <v>103081</v>
      </c>
      <c r="D227" s="2" t="s">
        <v>293</v>
      </c>
      <c r="E227" s="2">
        <v>20.28</v>
      </c>
      <c r="F227" s="3">
        <v>45323</v>
      </c>
      <c r="G227" s="2">
        <v>2.8000000000000001E-2</v>
      </c>
      <c r="H227" s="2" t="str">
        <f>("10662671102291")</f>
        <v>10662671102291</v>
      </c>
      <c r="I227" s="2">
        <v>90</v>
      </c>
      <c r="J227" s="2">
        <v>12960</v>
      </c>
    </row>
    <row r="228" spans="1:10">
      <c r="A228" s="2" t="s">
        <v>10</v>
      </c>
      <c r="B228" s="2" t="str">
        <f>("662671102300")</f>
        <v>662671102300</v>
      </c>
      <c r="C228" s="2">
        <v>103082</v>
      </c>
      <c r="D228" s="2" t="s">
        <v>294</v>
      </c>
      <c r="E228" s="2">
        <v>32.93</v>
      </c>
      <c r="F228" s="3">
        <v>45323</v>
      </c>
      <c r="G228" s="2">
        <v>3.5000000000000003E-2</v>
      </c>
      <c r="H228" s="2" t="str">
        <f>("10662671102307")</f>
        <v>10662671102307</v>
      </c>
      <c r="I228" s="2">
        <v>110</v>
      </c>
      <c r="J228" s="2">
        <v>7920</v>
      </c>
    </row>
    <row r="229" spans="1:10">
      <c r="A229" s="2" t="s">
        <v>10</v>
      </c>
      <c r="B229" s="2" t="str">
        <f>("662671102317")</f>
        <v>662671102317</v>
      </c>
      <c r="C229" s="2">
        <v>103083</v>
      </c>
      <c r="D229" s="2" t="s">
        <v>295</v>
      </c>
      <c r="E229" s="2">
        <v>106.61</v>
      </c>
      <c r="F229" s="3">
        <v>45323</v>
      </c>
      <c r="G229" s="2">
        <v>0.115</v>
      </c>
      <c r="H229" s="2" t="str">
        <f>("10662671102314")</f>
        <v>10662671102314</v>
      </c>
      <c r="I229" s="2">
        <v>30</v>
      </c>
      <c r="J229" s="2">
        <v>2160</v>
      </c>
    </row>
    <row r="230" spans="1:10">
      <c r="A230" s="2" t="s">
        <v>10</v>
      </c>
      <c r="B230" s="2" t="str">
        <f>("662671102324")</f>
        <v>662671102324</v>
      </c>
      <c r="C230" s="2">
        <v>103084</v>
      </c>
      <c r="D230" s="2" t="s">
        <v>296</v>
      </c>
      <c r="E230" s="2">
        <v>115.45</v>
      </c>
      <c r="F230" s="3">
        <v>45323</v>
      </c>
      <c r="G230" s="2">
        <v>0.2</v>
      </c>
      <c r="H230" s="2" t="str">
        <f>("10662671102321")</f>
        <v>10662671102321</v>
      </c>
      <c r="I230" s="2">
        <v>25</v>
      </c>
      <c r="J230" s="2">
        <v>1200</v>
      </c>
    </row>
    <row r="231" spans="1:10">
      <c r="A231" s="2" t="s">
        <v>10</v>
      </c>
      <c r="B231" s="2" t="str">
        <f>("662671103499")</f>
        <v>662671103499</v>
      </c>
      <c r="C231" s="2">
        <v>103086</v>
      </c>
      <c r="D231" s="2" t="s">
        <v>297</v>
      </c>
      <c r="E231" s="2">
        <v>480.86</v>
      </c>
      <c r="F231" s="3">
        <v>45323</v>
      </c>
      <c r="G231" s="2">
        <v>0.54100000000000004</v>
      </c>
      <c r="H231" s="2" t="str">
        <f>("10662671103496")</f>
        <v>10662671103496</v>
      </c>
      <c r="I231" s="2">
        <v>12</v>
      </c>
      <c r="J231" s="2">
        <v>384</v>
      </c>
    </row>
    <row r="232" spans="1:10">
      <c r="A232" s="2" t="s">
        <v>10</v>
      </c>
      <c r="B232" s="2" t="str">
        <f>("662671102331")</f>
        <v>662671102331</v>
      </c>
      <c r="C232" s="2">
        <v>103103</v>
      </c>
      <c r="D232" s="2" t="s">
        <v>298</v>
      </c>
      <c r="E232" s="2">
        <v>302.86</v>
      </c>
      <c r="F232" s="3">
        <v>45323</v>
      </c>
      <c r="G232" s="2">
        <v>0.505</v>
      </c>
      <c r="H232" s="2" t="str">
        <f>("10662671102338")</f>
        <v>10662671102338</v>
      </c>
      <c r="I232" s="2">
        <v>20</v>
      </c>
      <c r="J232" s="2">
        <v>360</v>
      </c>
    </row>
    <row r="233" spans="1:10">
      <c r="A233" s="2" t="s">
        <v>10</v>
      </c>
      <c r="B233" s="2" t="str">
        <f>("662671102348")</f>
        <v>662671102348</v>
      </c>
      <c r="C233" s="2">
        <v>103200</v>
      </c>
      <c r="D233" s="2" t="s">
        <v>299</v>
      </c>
      <c r="E233" s="2">
        <v>183.69</v>
      </c>
      <c r="F233" s="3">
        <v>45323</v>
      </c>
      <c r="G233" s="2">
        <v>0.126</v>
      </c>
      <c r="H233" s="2" t="str">
        <f>("10662671102345")</f>
        <v>10662671102345</v>
      </c>
      <c r="I233" s="2">
        <v>20</v>
      </c>
      <c r="J233" s="2">
        <v>1440</v>
      </c>
    </row>
    <row r="234" spans="1:10">
      <c r="A234" s="2" t="s">
        <v>10</v>
      </c>
      <c r="B234" s="2" t="str">
        <f>("662671102355")</f>
        <v>662671102355</v>
      </c>
      <c r="C234" s="2" t="s">
        <v>300</v>
      </c>
      <c r="D234" s="2" t="s">
        <v>301</v>
      </c>
      <c r="E234" s="2">
        <v>208.89</v>
      </c>
      <c r="F234" s="3">
        <v>45323</v>
      </c>
      <c r="G234" s="2">
        <v>0.14000000000000001</v>
      </c>
      <c r="H234" s="2" t="str">
        <f>("10662671102352")</f>
        <v>10662671102352</v>
      </c>
      <c r="I234" s="2">
        <v>20</v>
      </c>
      <c r="J234" s="2">
        <v>1440</v>
      </c>
    </row>
    <row r="235" spans="1:10">
      <c r="A235" s="2" t="s">
        <v>10</v>
      </c>
      <c r="B235" s="2" t="str">
        <f>("662671102362")</f>
        <v>662671102362</v>
      </c>
      <c r="C235" s="2">
        <v>103201</v>
      </c>
      <c r="D235" s="2" t="s">
        <v>302</v>
      </c>
      <c r="E235" s="2">
        <v>58.18</v>
      </c>
      <c r="F235" s="3">
        <v>45323</v>
      </c>
      <c r="G235" s="2">
        <v>0.14299999999999999</v>
      </c>
      <c r="H235" s="2" t="str">
        <f>("10662671102369")</f>
        <v>10662671102369</v>
      </c>
      <c r="I235" s="2">
        <v>40</v>
      </c>
      <c r="J235" s="2">
        <v>1280</v>
      </c>
    </row>
    <row r="236" spans="1:10">
      <c r="A236" s="2" t="s">
        <v>10</v>
      </c>
      <c r="B236" s="2" t="str">
        <f>("662671102379")</f>
        <v>662671102379</v>
      </c>
      <c r="C236" s="2" t="s">
        <v>303</v>
      </c>
      <c r="D236" s="2" t="s">
        <v>304</v>
      </c>
      <c r="E236" s="2">
        <v>70.02</v>
      </c>
      <c r="F236" s="3">
        <v>45323</v>
      </c>
      <c r="G236" s="2">
        <v>0.157</v>
      </c>
      <c r="H236" s="2" t="str">
        <f>("10662671102376")</f>
        <v>10662671102376</v>
      </c>
      <c r="I236" s="2">
        <v>35</v>
      </c>
      <c r="J236" s="2">
        <v>1120</v>
      </c>
    </row>
    <row r="237" spans="1:10">
      <c r="A237" s="2" t="s">
        <v>10</v>
      </c>
      <c r="B237" s="2" t="str">
        <f>("662671102386")</f>
        <v>662671102386</v>
      </c>
      <c r="C237" s="2">
        <v>103202</v>
      </c>
      <c r="D237" s="2" t="s">
        <v>305</v>
      </c>
      <c r="E237" s="2">
        <v>138.32</v>
      </c>
      <c r="F237" s="3">
        <v>45323</v>
      </c>
      <c r="G237" s="2">
        <v>0.28499999999999998</v>
      </c>
      <c r="H237" s="2" t="str">
        <f>("10662671102383")</f>
        <v>10662671102383</v>
      </c>
      <c r="I237" s="2">
        <v>20</v>
      </c>
      <c r="J237" s="2">
        <v>640</v>
      </c>
    </row>
    <row r="238" spans="1:10">
      <c r="A238" s="2" t="s">
        <v>10</v>
      </c>
      <c r="B238" s="2" t="str">
        <f>("662671107046")</f>
        <v>662671107046</v>
      </c>
      <c r="C238" s="2" t="s">
        <v>306</v>
      </c>
      <c r="D238" s="2" t="s">
        <v>307</v>
      </c>
      <c r="E238" s="2">
        <v>124.89</v>
      </c>
      <c r="F238" s="3">
        <v>45323</v>
      </c>
      <c r="G238" s="2">
        <v>0.184</v>
      </c>
      <c r="H238" s="2" t="str">
        <f>("10662671107043")</f>
        <v>10662671107043</v>
      </c>
      <c r="I238" s="2">
        <v>30</v>
      </c>
      <c r="J238" s="2">
        <v>960</v>
      </c>
    </row>
    <row r="239" spans="1:10">
      <c r="A239" s="2" t="s">
        <v>10</v>
      </c>
      <c r="B239" s="2" t="str">
        <f>("662671102393")</f>
        <v>662671102393</v>
      </c>
      <c r="C239" s="2" t="s">
        <v>308</v>
      </c>
      <c r="D239" s="2" t="s">
        <v>309</v>
      </c>
      <c r="E239" s="2">
        <v>249.86</v>
      </c>
      <c r="F239" s="3">
        <v>45323</v>
      </c>
      <c r="G239" s="2">
        <v>0.29899999999999999</v>
      </c>
      <c r="H239" s="2" t="str">
        <f>("10662671102390")</f>
        <v>10662671102390</v>
      </c>
      <c r="I239" s="2">
        <v>20</v>
      </c>
      <c r="J239" s="2">
        <v>640</v>
      </c>
    </row>
    <row r="240" spans="1:10">
      <c r="A240" s="2" t="s">
        <v>10</v>
      </c>
      <c r="B240" s="2" t="str">
        <f>("662671102409")</f>
        <v>662671102409</v>
      </c>
      <c r="C240" s="2">
        <v>103203</v>
      </c>
      <c r="D240" s="2" t="s">
        <v>310</v>
      </c>
      <c r="E240" s="2">
        <v>326.43</v>
      </c>
      <c r="F240" s="3">
        <v>45323</v>
      </c>
      <c r="G240" s="2">
        <v>0.83199999999999996</v>
      </c>
      <c r="H240" s="2" t="str">
        <f>("10662671102406")</f>
        <v>10662671102406</v>
      </c>
      <c r="I240" s="2">
        <v>10</v>
      </c>
      <c r="J240" s="2">
        <v>180</v>
      </c>
    </row>
    <row r="241" spans="1:10">
      <c r="A241" s="2" t="s">
        <v>10</v>
      </c>
      <c r="B241" s="2" t="str">
        <f>("662671102416")</f>
        <v>662671102416</v>
      </c>
      <c r="C241" s="2" t="s">
        <v>311</v>
      </c>
      <c r="D241" s="2" t="s">
        <v>312</v>
      </c>
      <c r="E241" s="2">
        <v>317.25</v>
      </c>
      <c r="F241" s="3">
        <v>45323</v>
      </c>
      <c r="G241" s="2">
        <v>0.57099999999999995</v>
      </c>
      <c r="H241" s="2" t="str">
        <f>("10662671102413")</f>
        <v>10662671102413</v>
      </c>
      <c r="I241" s="2">
        <v>15</v>
      </c>
      <c r="J241" s="2">
        <v>270</v>
      </c>
    </row>
    <row r="242" spans="1:10">
      <c r="A242" s="2" t="s">
        <v>10</v>
      </c>
      <c r="B242" s="2" t="str">
        <f>("662671102423")</f>
        <v>662671102423</v>
      </c>
      <c r="C242" s="2">
        <v>103204</v>
      </c>
      <c r="D242" s="2" t="s">
        <v>313</v>
      </c>
      <c r="E242" s="2">
        <v>641.25</v>
      </c>
      <c r="F242" s="3">
        <v>45323</v>
      </c>
      <c r="G242" s="2">
        <v>1.589</v>
      </c>
      <c r="H242" s="2" t="str">
        <f>("10662671102420")</f>
        <v>10662671102420</v>
      </c>
      <c r="I242" s="2">
        <v>6</v>
      </c>
      <c r="J242" s="2">
        <v>108</v>
      </c>
    </row>
    <row r="243" spans="1:10">
      <c r="A243" s="2" t="s">
        <v>10</v>
      </c>
      <c r="B243" s="2" t="str">
        <f>("662671103482")</f>
        <v>662671103482</v>
      </c>
      <c r="C243" s="2" t="s">
        <v>314</v>
      </c>
      <c r="D243" s="2" t="s">
        <v>315</v>
      </c>
      <c r="E243" s="2">
        <v>504.62</v>
      </c>
      <c r="F243" s="3">
        <v>45323</v>
      </c>
      <c r="G243" s="2">
        <v>1.08</v>
      </c>
      <c r="H243" s="2" t="str">
        <f>("10662671103489")</f>
        <v>10662671103489</v>
      </c>
      <c r="I243" s="2">
        <v>10</v>
      </c>
      <c r="J243" s="2">
        <v>180</v>
      </c>
    </row>
    <row r="244" spans="1:10">
      <c r="A244" s="2" t="s">
        <v>10</v>
      </c>
      <c r="B244" s="2" t="str">
        <f>("662671107756")</f>
        <v>662671107756</v>
      </c>
      <c r="C244" s="2" t="s">
        <v>316</v>
      </c>
      <c r="D244" s="2" t="s">
        <v>317</v>
      </c>
      <c r="E244" s="2">
        <v>3642.26</v>
      </c>
      <c r="F244" s="3">
        <v>45323</v>
      </c>
      <c r="G244" s="2">
        <v>2.5550000000000002</v>
      </c>
      <c r="H244" s="2" t="str">
        <f>("10662671107753")</f>
        <v>10662671107753</v>
      </c>
      <c r="I244" s="2">
        <v>2</v>
      </c>
      <c r="J244" s="2">
        <v>48</v>
      </c>
    </row>
    <row r="245" spans="1:10">
      <c r="A245" s="2" t="s">
        <v>10</v>
      </c>
      <c r="B245" s="2" t="str">
        <f>("662671102447")</f>
        <v>662671102447</v>
      </c>
      <c r="C245" s="2" t="s">
        <v>318</v>
      </c>
      <c r="D245" s="2" t="s">
        <v>319</v>
      </c>
      <c r="E245" s="2">
        <v>217.75</v>
      </c>
      <c r="F245" s="3">
        <v>45323</v>
      </c>
      <c r="G245" s="2">
        <v>0.14699999999999999</v>
      </c>
      <c r="H245" s="2" t="str">
        <f>("10662671102444")</f>
        <v>10662671102444</v>
      </c>
      <c r="I245" s="2">
        <v>20</v>
      </c>
      <c r="J245" s="2">
        <v>960</v>
      </c>
    </row>
    <row r="246" spans="1:10">
      <c r="A246" s="2" t="s">
        <v>10</v>
      </c>
      <c r="B246" s="2" t="str">
        <f>("662671102454")</f>
        <v>662671102454</v>
      </c>
      <c r="C246" s="2" t="s">
        <v>320</v>
      </c>
      <c r="D246" s="2" t="s">
        <v>321</v>
      </c>
      <c r="E246" s="2">
        <v>123.87</v>
      </c>
      <c r="F246" s="3">
        <v>45323</v>
      </c>
      <c r="G246" s="2">
        <v>0.127</v>
      </c>
      <c r="H246" s="2" t="str">
        <f>("10662671102451")</f>
        <v>10662671102451</v>
      </c>
      <c r="I246" s="2">
        <v>40</v>
      </c>
      <c r="J246" s="2">
        <v>1280</v>
      </c>
    </row>
    <row r="247" spans="1:10">
      <c r="A247" s="2" t="s">
        <v>10</v>
      </c>
      <c r="B247" s="2" t="str">
        <f>("662671107541")</f>
        <v>662671107541</v>
      </c>
      <c r="C247" s="2" t="s">
        <v>322</v>
      </c>
      <c r="D247" s="2" t="s">
        <v>323</v>
      </c>
      <c r="E247" s="2">
        <v>54.98</v>
      </c>
      <c r="F247" s="3">
        <v>45323</v>
      </c>
      <c r="G247" s="2">
        <v>7.0000000000000007E-2</v>
      </c>
      <c r="H247" s="2" t="str">
        <f>("10662671107548")</f>
        <v>10662671107548</v>
      </c>
      <c r="I247" s="2">
        <v>40</v>
      </c>
      <c r="J247" s="2">
        <v>2880</v>
      </c>
    </row>
    <row r="248" spans="1:10">
      <c r="A248" s="2" t="s">
        <v>10</v>
      </c>
      <c r="B248" s="2" t="str">
        <f>("662671107114")</f>
        <v>662671107114</v>
      </c>
      <c r="C248" s="2" t="s">
        <v>324</v>
      </c>
      <c r="D248" s="2" t="s">
        <v>325</v>
      </c>
      <c r="E248" s="2">
        <v>56.69</v>
      </c>
      <c r="F248" s="3">
        <v>45323</v>
      </c>
      <c r="G248" s="2">
        <v>7.9000000000000001E-2</v>
      </c>
      <c r="H248" s="2" t="str">
        <f>("10662671107111")</f>
        <v>10662671107111</v>
      </c>
      <c r="I248" s="2">
        <v>40</v>
      </c>
      <c r="J248" s="2">
        <v>2880</v>
      </c>
    </row>
    <row r="249" spans="1:10">
      <c r="A249" s="2" t="s">
        <v>10</v>
      </c>
      <c r="B249" s="2" t="str">
        <f>("662671102461")</f>
        <v>662671102461</v>
      </c>
      <c r="C249" s="2" t="s">
        <v>326</v>
      </c>
      <c r="D249" s="2" t="s">
        <v>327</v>
      </c>
      <c r="E249" s="2">
        <v>76.63</v>
      </c>
      <c r="F249" s="3">
        <v>45323</v>
      </c>
      <c r="G249" s="2">
        <v>0.17599999999999999</v>
      </c>
      <c r="H249" s="2" t="str">
        <f>("10662671102468")</f>
        <v>10662671102468</v>
      </c>
      <c r="I249" s="2">
        <v>35</v>
      </c>
      <c r="J249" s="2">
        <v>1120</v>
      </c>
    </row>
    <row r="250" spans="1:10">
      <c r="A250" s="2" t="s">
        <v>10</v>
      </c>
      <c r="B250" s="2" t="str">
        <f>("662671102485")</f>
        <v>662671102485</v>
      </c>
      <c r="C250" s="2" t="s">
        <v>328</v>
      </c>
      <c r="D250" s="2" t="s">
        <v>329</v>
      </c>
      <c r="E250" s="2">
        <v>75.19</v>
      </c>
      <c r="F250" s="3">
        <v>45323</v>
      </c>
      <c r="G250" s="2">
        <v>0.16200000000000001</v>
      </c>
      <c r="H250" s="2" t="str">
        <f>("10662671102482")</f>
        <v>10662671102482</v>
      </c>
      <c r="I250" s="2">
        <v>40</v>
      </c>
      <c r="J250" s="2">
        <v>1280</v>
      </c>
    </row>
    <row r="251" spans="1:10">
      <c r="A251" s="2" t="s">
        <v>10</v>
      </c>
      <c r="B251" s="2" t="str">
        <f>("662671102508")</f>
        <v>662671102508</v>
      </c>
      <c r="C251" s="2" t="s">
        <v>330</v>
      </c>
      <c r="D251" s="2" t="s">
        <v>331</v>
      </c>
      <c r="E251" s="2">
        <v>37.21</v>
      </c>
      <c r="F251" s="3">
        <v>45323</v>
      </c>
      <c r="G251" s="2">
        <v>3.5000000000000003E-2</v>
      </c>
      <c r="H251" s="2" t="str">
        <f>("10662671102505")</f>
        <v>10662671102505</v>
      </c>
      <c r="I251" s="2">
        <v>100</v>
      </c>
      <c r="J251" s="2">
        <v>7200</v>
      </c>
    </row>
    <row r="252" spans="1:10">
      <c r="A252" s="2" t="s">
        <v>10</v>
      </c>
      <c r="B252" s="2" t="str">
        <f>("662671103345")</f>
        <v>662671103345</v>
      </c>
      <c r="C252" s="2" t="s">
        <v>332</v>
      </c>
      <c r="D252" s="2" t="s">
        <v>333</v>
      </c>
      <c r="E252" s="2">
        <v>258.58999999999997</v>
      </c>
      <c r="F252" s="3">
        <v>45323</v>
      </c>
      <c r="G252" s="2">
        <v>0.30099999999999999</v>
      </c>
      <c r="H252" s="2" t="str">
        <f>("10662671103342")</f>
        <v>10662671103342</v>
      </c>
      <c r="I252" s="2">
        <v>10</v>
      </c>
      <c r="J252" s="2">
        <v>480</v>
      </c>
    </row>
    <row r="253" spans="1:10">
      <c r="A253" s="2" t="s">
        <v>10</v>
      </c>
      <c r="B253" s="2" t="str">
        <f>("662671102515")</f>
        <v>662671102515</v>
      </c>
      <c r="C253" s="2" t="s">
        <v>334</v>
      </c>
      <c r="D253" s="2" t="s">
        <v>335</v>
      </c>
      <c r="E253" s="2">
        <v>189.03</v>
      </c>
      <c r="F253" s="3">
        <v>45323</v>
      </c>
      <c r="G253" s="2">
        <v>0.30099999999999999</v>
      </c>
      <c r="H253" s="2" t="str">
        <f>("10662671102512")</f>
        <v>10662671102512</v>
      </c>
      <c r="I253" s="2">
        <v>20</v>
      </c>
      <c r="J253" s="2">
        <v>640</v>
      </c>
    </row>
    <row r="254" spans="1:10">
      <c r="A254" s="2" t="s">
        <v>10</v>
      </c>
      <c r="B254" s="2" t="str">
        <f>("662671102522")</f>
        <v>662671102522</v>
      </c>
      <c r="C254" s="2">
        <v>103215</v>
      </c>
      <c r="D254" s="2" t="s">
        <v>336</v>
      </c>
      <c r="E254" s="2">
        <v>66.959999999999994</v>
      </c>
      <c r="F254" s="3">
        <v>45323</v>
      </c>
      <c r="G254" s="2">
        <v>3.5000000000000003E-2</v>
      </c>
      <c r="H254" s="2" t="str">
        <f>("10662671102529")</f>
        <v>10662671102529</v>
      </c>
      <c r="I254" s="2">
        <v>60</v>
      </c>
      <c r="J254" s="2">
        <v>8640</v>
      </c>
    </row>
    <row r="255" spans="1:10">
      <c r="A255" s="2" t="s">
        <v>10</v>
      </c>
      <c r="B255" s="2" t="str">
        <f>("662671102539")</f>
        <v>662671102539</v>
      </c>
      <c r="C255" s="2">
        <v>103216</v>
      </c>
      <c r="D255" s="2" t="s">
        <v>337</v>
      </c>
      <c r="E255" s="2">
        <v>72.61</v>
      </c>
      <c r="F255" s="3">
        <v>45323</v>
      </c>
      <c r="G255" s="2">
        <v>3.9E-2</v>
      </c>
      <c r="H255" s="2" t="str">
        <f>("10662671102536")</f>
        <v>10662671102536</v>
      </c>
      <c r="I255" s="2">
        <v>35</v>
      </c>
      <c r="J255" s="2">
        <v>5040</v>
      </c>
    </row>
    <row r="256" spans="1:10">
      <c r="A256" s="2" t="s">
        <v>10</v>
      </c>
      <c r="B256" s="2" t="str">
        <f>("662671102546")</f>
        <v>662671102546</v>
      </c>
      <c r="C256" s="2">
        <v>103217</v>
      </c>
      <c r="D256" s="2" t="s">
        <v>338</v>
      </c>
      <c r="E256" s="2">
        <v>67.44</v>
      </c>
      <c r="F256" s="3">
        <v>45323</v>
      </c>
      <c r="G256" s="2">
        <v>3.5999999999999997E-2</v>
      </c>
      <c r="H256" s="2" t="str">
        <f>("10662671102543")</f>
        <v>10662671102543</v>
      </c>
      <c r="I256" s="2">
        <v>100</v>
      </c>
      <c r="J256" s="2">
        <v>7200</v>
      </c>
    </row>
    <row r="257" spans="1:10">
      <c r="A257" s="2" t="s">
        <v>10</v>
      </c>
      <c r="B257" s="2" t="str">
        <f>("662671109231")</f>
        <v>662671109231</v>
      </c>
      <c r="C257" s="2" t="s">
        <v>339</v>
      </c>
      <c r="D257" s="2" t="s">
        <v>340</v>
      </c>
      <c r="E257" s="2">
        <v>8.09</v>
      </c>
      <c r="F257" s="3">
        <v>45323</v>
      </c>
      <c r="G257" s="2">
        <v>2E-3</v>
      </c>
      <c r="H257" s="2" t="str">
        <f>("30662671109232")</f>
        <v>30662671109232</v>
      </c>
      <c r="I257" s="2">
        <v>400</v>
      </c>
      <c r="J257" s="2">
        <v>57600</v>
      </c>
    </row>
    <row r="258" spans="1:10">
      <c r="A258" s="2" t="s">
        <v>10</v>
      </c>
      <c r="B258" s="2" t="str">
        <f>("662671109262")</f>
        <v>662671109262</v>
      </c>
      <c r="C258" s="2" t="s">
        <v>341</v>
      </c>
      <c r="D258" s="2" t="s">
        <v>342</v>
      </c>
      <c r="E258" s="2">
        <v>84.31</v>
      </c>
      <c r="F258" s="3">
        <v>45323</v>
      </c>
      <c r="G258" s="2">
        <v>0.23400000000000001</v>
      </c>
      <c r="H258" s="2" t="str">
        <f>("10662671109269")</f>
        <v>10662671109269</v>
      </c>
      <c r="I258" s="2">
        <v>35</v>
      </c>
      <c r="J258" s="2">
        <v>1120</v>
      </c>
    </row>
    <row r="259" spans="1:10">
      <c r="A259" s="2" t="s">
        <v>10</v>
      </c>
      <c r="B259" s="2" t="str">
        <f>("662671109279")</f>
        <v>662671109279</v>
      </c>
      <c r="C259" s="2" t="s">
        <v>343</v>
      </c>
      <c r="D259" s="2" t="s">
        <v>344</v>
      </c>
      <c r="E259" s="2">
        <v>82.68</v>
      </c>
      <c r="F259" s="3">
        <v>45323</v>
      </c>
      <c r="G259" s="2">
        <v>0.21</v>
      </c>
      <c r="H259" s="2" t="str">
        <f>("10662671109276")</f>
        <v>10662671109276</v>
      </c>
      <c r="I259" s="2">
        <v>35</v>
      </c>
      <c r="J259" s="2">
        <v>1120</v>
      </c>
    </row>
    <row r="260" spans="1:10">
      <c r="A260" s="2" t="s">
        <v>10</v>
      </c>
      <c r="B260" s="2" t="str">
        <f>("662671102560")</f>
        <v>662671102560</v>
      </c>
      <c r="C260" s="2" t="s">
        <v>345</v>
      </c>
      <c r="D260" s="2" t="s">
        <v>346</v>
      </c>
      <c r="E260" s="2">
        <v>791.91</v>
      </c>
      <c r="F260" s="3">
        <v>45323</v>
      </c>
      <c r="G260" s="2">
        <v>1.585</v>
      </c>
      <c r="H260" s="2" t="str">
        <f>("20662671102564")</f>
        <v>20662671102564</v>
      </c>
      <c r="I260" s="2">
        <v>5</v>
      </c>
      <c r="J260" s="2">
        <v>90</v>
      </c>
    </row>
    <row r="261" spans="1:10">
      <c r="A261" s="2" t="s">
        <v>10</v>
      </c>
      <c r="B261" s="2" t="str">
        <f>("662671103451")</f>
        <v>662671103451</v>
      </c>
      <c r="C261" s="2" t="s">
        <v>347</v>
      </c>
      <c r="D261" s="2" t="s">
        <v>348</v>
      </c>
      <c r="E261" s="2">
        <v>426.12</v>
      </c>
      <c r="F261" s="3">
        <v>45323</v>
      </c>
      <c r="G261" s="2">
        <v>0.53900000000000003</v>
      </c>
      <c r="H261" s="2" t="str">
        <f>("10662671103458")</f>
        <v>10662671103458</v>
      </c>
      <c r="I261" s="2">
        <v>4</v>
      </c>
      <c r="J261" s="2">
        <v>288</v>
      </c>
    </row>
    <row r="262" spans="1:10">
      <c r="A262" s="2" t="s">
        <v>10</v>
      </c>
      <c r="B262" s="2" t="str">
        <f>("662671102584")</f>
        <v>662671102584</v>
      </c>
      <c r="C262" s="2" t="s">
        <v>349</v>
      </c>
      <c r="D262" s="2" t="s">
        <v>350</v>
      </c>
      <c r="E262" s="2">
        <v>127.29</v>
      </c>
      <c r="F262" s="3">
        <v>45323</v>
      </c>
      <c r="G262" s="2">
        <v>0.20699999999999999</v>
      </c>
      <c r="H262" s="2" t="str">
        <f>("20662671102588")</f>
        <v>20662671102588</v>
      </c>
      <c r="I262" s="2">
        <v>20</v>
      </c>
      <c r="J262" s="2">
        <v>960</v>
      </c>
    </row>
    <row r="263" spans="1:10">
      <c r="A263" s="2" t="s">
        <v>10</v>
      </c>
      <c r="B263" s="2" t="str">
        <f>("662671108852")</f>
        <v>662671108852</v>
      </c>
      <c r="C263" s="2">
        <v>103420</v>
      </c>
      <c r="D263" s="2" t="s">
        <v>351</v>
      </c>
      <c r="E263" s="2">
        <v>72.930000000000007</v>
      </c>
      <c r="F263" s="3">
        <v>45323</v>
      </c>
      <c r="G263" s="2">
        <v>3.3000000000000002E-2</v>
      </c>
      <c r="H263" s="2" t="str">
        <f>("10662671108859")</f>
        <v>10662671108859</v>
      </c>
      <c r="I263" s="2">
        <v>100</v>
      </c>
      <c r="J263" s="2">
        <v>7200</v>
      </c>
    </row>
    <row r="264" spans="1:10">
      <c r="A264" s="2" t="s">
        <v>10</v>
      </c>
      <c r="B264" s="2" t="str">
        <f>("662671102607")</f>
        <v>662671102607</v>
      </c>
      <c r="C264" s="2">
        <v>103422</v>
      </c>
      <c r="D264" s="2" t="s">
        <v>352</v>
      </c>
      <c r="E264" s="2">
        <v>103.96</v>
      </c>
      <c r="F264" s="3">
        <v>45323</v>
      </c>
      <c r="G264" s="2">
        <v>5.8999999999999997E-2</v>
      </c>
      <c r="H264" s="2" t="str">
        <f>("10662671102604")</f>
        <v>10662671102604</v>
      </c>
      <c r="I264" s="2">
        <v>50</v>
      </c>
      <c r="J264" s="2">
        <v>3600</v>
      </c>
    </row>
    <row r="265" spans="1:10">
      <c r="A265" s="2" t="s">
        <v>10</v>
      </c>
      <c r="B265" s="2" t="str">
        <f>("662671102614")</f>
        <v>662671102614</v>
      </c>
      <c r="C265" s="2">
        <v>103423</v>
      </c>
      <c r="D265" s="2" t="s">
        <v>353</v>
      </c>
      <c r="E265" s="2">
        <v>118.18</v>
      </c>
      <c r="F265" s="3">
        <v>45323</v>
      </c>
      <c r="G265" s="2">
        <v>0.13700000000000001</v>
      </c>
      <c r="H265" s="2" t="str">
        <f>("10662671102611")</f>
        <v>10662671102611</v>
      </c>
      <c r="I265" s="2">
        <v>30</v>
      </c>
      <c r="J265" s="2">
        <v>2160</v>
      </c>
    </row>
    <row r="266" spans="1:10">
      <c r="A266" s="2" t="s">
        <v>10</v>
      </c>
      <c r="B266" s="2" t="str">
        <f>("662671102621")</f>
        <v>662671102621</v>
      </c>
      <c r="C266" s="2">
        <v>103424</v>
      </c>
      <c r="D266" s="2" t="s">
        <v>354</v>
      </c>
      <c r="E266" s="2">
        <v>181.05</v>
      </c>
      <c r="F266" s="3">
        <v>45323</v>
      </c>
      <c r="G266" s="2">
        <v>0.21</v>
      </c>
      <c r="H266" s="2" t="str">
        <f>("10662671102628")</f>
        <v>10662671102628</v>
      </c>
      <c r="I266" s="2">
        <v>15</v>
      </c>
      <c r="J266" s="2">
        <v>1080</v>
      </c>
    </row>
    <row r="267" spans="1:10">
      <c r="A267" s="2" t="s">
        <v>10</v>
      </c>
      <c r="B267" s="2" t="str">
        <f>("662671103420")</f>
        <v>662671103420</v>
      </c>
      <c r="C267" s="2">
        <v>103428</v>
      </c>
      <c r="D267" s="2" t="s">
        <v>355</v>
      </c>
      <c r="E267" s="2">
        <v>181.05</v>
      </c>
      <c r="F267" s="3">
        <v>45323</v>
      </c>
      <c r="G267" s="2">
        <v>0.18</v>
      </c>
      <c r="H267" s="2" t="str">
        <f>("10662671103427")</f>
        <v>10662671103427</v>
      </c>
      <c r="I267" s="2">
        <v>15</v>
      </c>
      <c r="J267" s="2">
        <v>1080</v>
      </c>
    </row>
    <row r="268" spans="1:10">
      <c r="A268" s="2" t="s">
        <v>10</v>
      </c>
      <c r="B268" s="2" t="str">
        <f>("662671102638")</f>
        <v>662671102638</v>
      </c>
      <c r="C268" s="2">
        <v>103452</v>
      </c>
      <c r="D268" s="2" t="s">
        <v>356</v>
      </c>
      <c r="E268" s="2">
        <v>87.19</v>
      </c>
      <c r="F268" s="3">
        <v>45323</v>
      </c>
      <c r="G268" s="2">
        <v>0.106</v>
      </c>
      <c r="H268" s="2" t="str">
        <f>("10662671102635")</f>
        <v>10662671102635</v>
      </c>
      <c r="I268" s="2">
        <v>30</v>
      </c>
      <c r="J268" s="2">
        <v>2160</v>
      </c>
    </row>
    <row r="269" spans="1:10">
      <c r="A269" s="2" t="s">
        <v>10</v>
      </c>
      <c r="B269" s="2" t="str">
        <f>("662671102645")</f>
        <v>662671102645</v>
      </c>
      <c r="C269" s="2">
        <v>103453</v>
      </c>
      <c r="D269" s="2" t="s">
        <v>357</v>
      </c>
      <c r="E269" s="2">
        <v>137.59</v>
      </c>
      <c r="F269" s="3">
        <v>45323</v>
      </c>
      <c r="G269" s="2">
        <v>0.253</v>
      </c>
      <c r="H269" s="2" t="str">
        <f>("10662671102642")</f>
        <v>10662671102642</v>
      </c>
      <c r="I269" s="2">
        <v>30</v>
      </c>
      <c r="J269" s="2">
        <v>960</v>
      </c>
    </row>
    <row r="270" spans="1:10">
      <c r="A270" s="2" t="s">
        <v>10</v>
      </c>
      <c r="B270" s="2" t="str">
        <f>("662671102669")</f>
        <v>662671102669</v>
      </c>
      <c r="C270" s="2">
        <v>103464</v>
      </c>
      <c r="D270" s="2" t="s">
        <v>358</v>
      </c>
      <c r="E270" s="2">
        <v>175.61</v>
      </c>
      <c r="F270" s="3">
        <v>45323</v>
      </c>
      <c r="G270" s="2">
        <v>0.34300000000000003</v>
      </c>
      <c r="H270" s="2" t="str">
        <f>("10662671102666")</f>
        <v>10662671102666</v>
      </c>
      <c r="I270" s="2">
        <v>10</v>
      </c>
      <c r="J270" s="2">
        <v>480</v>
      </c>
    </row>
    <row r="271" spans="1:10">
      <c r="A271" s="2" t="s">
        <v>10</v>
      </c>
      <c r="B271" s="2" t="str">
        <f>("662671108616")</f>
        <v>662671108616</v>
      </c>
      <c r="C271" s="2">
        <v>103502</v>
      </c>
      <c r="D271" s="2" t="s">
        <v>359</v>
      </c>
      <c r="E271" s="2">
        <v>75.98</v>
      </c>
      <c r="F271" s="3">
        <v>45323</v>
      </c>
      <c r="G271" s="2">
        <v>8.5000000000000006E-2</v>
      </c>
      <c r="H271" s="2" t="str">
        <f>("10662671108613")</f>
        <v>10662671108613</v>
      </c>
      <c r="I271" s="2">
        <v>70</v>
      </c>
      <c r="J271" s="2">
        <v>2240</v>
      </c>
    </row>
    <row r="272" spans="1:10">
      <c r="A272" s="2" t="s">
        <v>10</v>
      </c>
      <c r="B272" s="2" t="str">
        <f>("662671102683")</f>
        <v>662671102683</v>
      </c>
      <c r="C272" s="2">
        <v>103604</v>
      </c>
      <c r="D272" s="2" t="s">
        <v>360</v>
      </c>
      <c r="E272" s="2">
        <v>124.84</v>
      </c>
      <c r="F272" s="3">
        <v>45323</v>
      </c>
      <c r="G272" s="2">
        <v>0.224</v>
      </c>
      <c r="H272" s="2" t="str">
        <f>("10662671102680")</f>
        <v>10662671102680</v>
      </c>
      <c r="I272" s="2">
        <v>25</v>
      </c>
      <c r="J272" s="2">
        <v>800</v>
      </c>
    </row>
    <row r="273" spans="1:10">
      <c r="A273" s="2" t="s">
        <v>10</v>
      </c>
      <c r="B273" s="2" t="str">
        <f>("662671102690")</f>
        <v>662671102690</v>
      </c>
      <c r="C273" s="2">
        <v>103624</v>
      </c>
      <c r="D273" s="2" t="s">
        <v>361</v>
      </c>
      <c r="E273" s="2">
        <v>163.09</v>
      </c>
      <c r="F273" s="3">
        <v>45323</v>
      </c>
      <c r="G273" s="2">
        <v>0.254</v>
      </c>
      <c r="H273" s="2" t="str">
        <f>("10662671102697")</f>
        <v>10662671102697</v>
      </c>
      <c r="I273" s="2">
        <v>25</v>
      </c>
      <c r="J273" s="2">
        <v>800</v>
      </c>
    </row>
    <row r="274" spans="1:10">
      <c r="A274" s="2" t="s">
        <v>10</v>
      </c>
      <c r="B274" s="2" t="str">
        <f>("662671102706")</f>
        <v>662671102706</v>
      </c>
      <c r="C274" s="2" t="s">
        <v>362</v>
      </c>
      <c r="D274" s="2" t="s">
        <v>363</v>
      </c>
      <c r="E274" s="2">
        <v>168.28</v>
      </c>
      <c r="F274" s="3">
        <v>45323</v>
      </c>
      <c r="G274" s="2">
        <v>0.27600000000000002</v>
      </c>
      <c r="H274" s="2" t="str">
        <f>("10662671102703")</f>
        <v>10662671102703</v>
      </c>
      <c r="I274" s="2">
        <v>25</v>
      </c>
      <c r="J274" s="2">
        <v>800</v>
      </c>
    </row>
    <row r="275" spans="1:10">
      <c r="A275" s="2" t="s">
        <v>10</v>
      </c>
      <c r="B275" s="2" t="str">
        <f>("662671102713")</f>
        <v>662671102713</v>
      </c>
      <c r="C275" s="2">
        <v>103626</v>
      </c>
      <c r="D275" s="2" t="s">
        <v>364</v>
      </c>
      <c r="E275" s="2">
        <v>193.57</v>
      </c>
      <c r="F275" s="3">
        <v>45323</v>
      </c>
      <c r="G275" s="2">
        <v>0.246</v>
      </c>
      <c r="H275" s="2" t="str">
        <f>("10662671102710")</f>
        <v>10662671102710</v>
      </c>
      <c r="I275" s="2">
        <v>25</v>
      </c>
      <c r="J275" s="2">
        <v>800</v>
      </c>
    </row>
    <row r="276" spans="1:10">
      <c r="A276" s="2" t="s">
        <v>10</v>
      </c>
      <c r="B276" s="2" t="str">
        <f>("662671103321")</f>
        <v>662671103321</v>
      </c>
      <c r="C276" s="2" t="s">
        <v>365</v>
      </c>
      <c r="D276" s="2" t="s">
        <v>366</v>
      </c>
      <c r="E276" s="2">
        <v>193.57</v>
      </c>
      <c r="F276" s="3">
        <v>45323</v>
      </c>
      <c r="G276" s="2">
        <v>0.26400000000000001</v>
      </c>
      <c r="H276" s="2" t="str">
        <f>("10662671103328")</f>
        <v>10662671103328</v>
      </c>
      <c r="I276" s="2">
        <v>25</v>
      </c>
      <c r="J276" s="2">
        <v>800</v>
      </c>
    </row>
    <row r="277" spans="1:10">
      <c r="A277" s="2" t="s">
        <v>10</v>
      </c>
      <c r="B277" s="2" t="str">
        <f>("662671108838")</f>
        <v>662671108838</v>
      </c>
      <c r="C277" s="2" t="s">
        <v>367</v>
      </c>
      <c r="D277" s="2" t="s">
        <v>368</v>
      </c>
      <c r="E277" s="2">
        <v>158.38</v>
      </c>
      <c r="F277" s="3">
        <v>45323</v>
      </c>
      <c r="G277" s="2">
        <v>0.21099999999999999</v>
      </c>
      <c r="H277" s="2" t="str">
        <f>("20662671108832")</f>
        <v>20662671108832</v>
      </c>
      <c r="I277" s="2">
        <v>25</v>
      </c>
      <c r="J277" s="2">
        <v>800</v>
      </c>
    </row>
    <row r="278" spans="1:10">
      <c r="A278" s="2" t="s">
        <v>10</v>
      </c>
      <c r="B278" s="2" t="str">
        <f>("662671108845")</f>
        <v>662671108845</v>
      </c>
      <c r="C278" s="2" t="s">
        <v>369</v>
      </c>
      <c r="D278" s="2" t="s">
        <v>370</v>
      </c>
      <c r="E278" s="2">
        <v>163.47999999999999</v>
      </c>
      <c r="F278" s="3">
        <v>45323</v>
      </c>
      <c r="G278" s="2">
        <v>0.23499999999999999</v>
      </c>
      <c r="H278" s="2" t="str">
        <f>("10662671108842")</f>
        <v>10662671108842</v>
      </c>
      <c r="I278" s="2">
        <v>25</v>
      </c>
      <c r="J278" s="2">
        <v>800</v>
      </c>
    </row>
    <row r="279" spans="1:10">
      <c r="A279" s="2" t="s">
        <v>10</v>
      </c>
      <c r="B279" s="2" t="str">
        <f>("662671108791")</f>
        <v>662671108791</v>
      </c>
      <c r="C279" s="2">
        <v>103630</v>
      </c>
      <c r="D279" s="2" t="s">
        <v>371</v>
      </c>
      <c r="E279" s="2">
        <v>196.17</v>
      </c>
      <c r="F279" s="3">
        <v>45323</v>
      </c>
      <c r="G279" s="2">
        <v>0.25600000000000001</v>
      </c>
      <c r="H279" s="2" t="str">
        <f>("10662671108798")</f>
        <v>10662671108798</v>
      </c>
      <c r="I279" s="2">
        <v>25</v>
      </c>
      <c r="J279" s="2">
        <v>1200</v>
      </c>
    </row>
    <row r="280" spans="1:10">
      <c r="A280" s="2" t="s">
        <v>10</v>
      </c>
      <c r="B280" s="2" t="str">
        <f>("662671102720")</f>
        <v>662671102720</v>
      </c>
      <c r="C280" s="2">
        <v>103631</v>
      </c>
      <c r="D280" s="2" t="s">
        <v>372</v>
      </c>
      <c r="E280" s="2">
        <v>111.99</v>
      </c>
      <c r="F280" s="3">
        <v>45323</v>
      </c>
      <c r="G280" s="2">
        <v>0.23799999999999999</v>
      </c>
      <c r="H280" s="2" t="str">
        <f>("10662671102727")</f>
        <v>10662671102727</v>
      </c>
      <c r="I280" s="2">
        <v>25</v>
      </c>
      <c r="J280" s="2">
        <v>800</v>
      </c>
    </row>
    <row r="281" spans="1:10">
      <c r="A281" s="2" t="s">
        <v>10</v>
      </c>
      <c r="B281" s="2" t="str">
        <f>("662671102737")</f>
        <v>662671102737</v>
      </c>
      <c r="C281" s="2" t="s">
        <v>373</v>
      </c>
      <c r="D281" s="2" t="s">
        <v>374</v>
      </c>
      <c r="E281" s="2">
        <v>111.21</v>
      </c>
      <c r="F281" s="3">
        <v>45323</v>
      </c>
      <c r="G281" s="2">
        <v>0.27300000000000002</v>
      </c>
      <c r="H281" s="2" t="str">
        <f>("10662671102734")</f>
        <v>10662671102734</v>
      </c>
      <c r="I281" s="2">
        <v>25</v>
      </c>
      <c r="J281" s="2">
        <v>800</v>
      </c>
    </row>
    <row r="282" spans="1:10">
      <c r="A282" s="2" t="s">
        <v>10</v>
      </c>
      <c r="B282" s="2" t="str">
        <f>("662671109309")</f>
        <v>662671109309</v>
      </c>
      <c r="C282" s="2" t="s">
        <v>375</v>
      </c>
      <c r="D282" s="2" t="s">
        <v>376</v>
      </c>
      <c r="E282" s="2">
        <v>111.99</v>
      </c>
      <c r="F282" s="3">
        <v>45323</v>
      </c>
      <c r="G282" s="2">
        <v>0.224</v>
      </c>
      <c r="H282" s="2" t="str">
        <f>("10662671109306")</f>
        <v>10662671109306</v>
      </c>
      <c r="I282" s="2">
        <v>25</v>
      </c>
      <c r="J282" s="2">
        <v>800</v>
      </c>
    </row>
    <row r="283" spans="1:10">
      <c r="A283" s="2" t="s">
        <v>10</v>
      </c>
      <c r="B283" s="2" t="str">
        <f>("662671106674")</f>
        <v>662671106674</v>
      </c>
      <c r="C283" s="2">
        <v>103633</v>
      </c>
      <c r="D283" s="2" t="s">
        <v>377</v>
      </c>
      <c r="E283" s="2">
        <v>83.03</v>
      </c>
      <c r="F283" s="3">
        <v>45323</v>
      </c>
      <c r="G283" s="2">
        <v>0.25800000000000001</v>
      </c>
      <c r="H283" s="2" t="str">
        <f>("10662671106671")</f>
        <v>10662671106671</v>
      </c>
      <c r="I283" s="2">
        <v>25</v>
      </c>
      <c r="J283" s="2">
        <v>800</v>
      </c>
    </row>
    <row r="284" spans="1:10">
      <c r="A284" s="2" t="s">
        <v>10</v>
      </c>
      <c r="B284" s="2" t="str">
        <f>("662671102744")</f>
        <v>662671102744</v>
      </c>
      <c r="C284" s="2">
        <v>103634</v>
      </c>
      <c r="D284" s="2" t="s">
        <v>378</v>
      </c>
      <c r="E284" s="2">
        <v>103.18</v>
      </c>
      <c r="F284" s="3">
        <v>45323</v>
      </c>
      <c r="G284" s="2">
        <v>0.245</v>
      </c>
      <c r="H284" s="2" t="str">
        <f>("10662671102741")</f>
        <v>10662671102741</v>
      </c>
      <c r="I284" s="2">
        <v>25</v>
      </c>
      <c r="J284" s="2">
        <v>800</v>
      </c>
    </row>
    <row r="285" spans="1:10">
      <c r="A285" s="2" t="s">
        <v>10</v>
      </c>
      <c r="B285" s="2" t="str">
        <f>("662671102751")</f>
        <v>662671102751</v>
      </c>
      <c r="C285" s="2" t="s">
        <v>379</v>
      </c>
      <c r="D285" s="2" t="s">
        <v>380</v>
      </c>
      <c r="E285" s="2">
        <v>275.88</v>
      </c>
      <c r="F285" s="3">
        <v>45323</v>
      </c>
      <c r="G285" s="2">
        <v>0.188</v>
      </c>
      <c r="H285" s="2" t="str">
        <f>("10662671102758")</f>
        <v>10662671102758</v>
      </c>
      <c r="I285" s="2">
        <v>25</v>
      </c>
      <c r="J285" s="2">
        <v>1200</v>
      </c>
    </row>
    <row r="286" spans="1:10">
      <c r="A286" s="2" t="s">
        <v>10</v>
      </c>
      <c r="B286" s="2" t="str">
        <f>("662671102768")</f>
        <v>662671102768</v>
      </c>
      <c r="C286" s="2" t="s">
        <v>381</v>
      </c>
      <c r="D286" s="2" t="s">
        <v>382</v>
      </c>
      <c r="E286" s="2">
        <v>275.88</v>
      </c>
      <c r="F286" s="3">
        <v>45323</v>
      </c>
      <c r="G286" s="2">
        <v>0.217</v>
      </c>
      <c r="H286" s="2" t="str">
        <f>("10662671102765")</f>
        <v>10662671102765</v>
      </c>
      <c r="I286" s="2">
        <v>25</v>
      </c>
      <c r="J286" s="2">
        <v>1200</v>
      </c>
    </row>
    <row r="287" spans="1:10">
      <c r="A287" s="2" t="s">
        <v>10</v>
      </c>
      <c r="B287" s="2" t="str">
        <f>("662671102775")</f>
        <v>662671102775</v>
      </c>
      <c r="C287" s="2" t="s">
        <v>383</v>
      </c>
      <c r="D287" s="2" t="s">
        <v>384</v>
      </c>
      <c r="E287" s="2">
        <v>181.05</v>
      </c>
      <c r="F287" s="3">
        <v>45323</v>
      </c>
      <c r="G287" s="2">
        <v>0.21199999999999999</v>
      </c>
      <c r="H287" s="2" t="str">
        <f>("10662671102772")</f>
        <v>10662671102772</v>
      </c>
      <c r="I287" s="2">
        <v>40</v>
      </c>
      <c r="J287" s="2">
        <v>1280</v>
      </c>
    </row>
    <row r="288" spans="1:10">
      <c r="A288" s="2" t="s">
        <v>10</v>
      </c>
      <c r="B288" s="2" t="str">
        <f>("662671102782")</f>
        <v>662671102782</v>
      </c>
      <c r="C288" s="2" t="s">
        <v>385</v>
      </c>
      <c r="D288" s="2" t="s">
        <v>386</v>
      </c>
      <c r="E288" s="2">
        <v>125.59</v>
      </c>
      <c r="F288" s="3">
        <v>45323</v>
      </c>
      <c r="G288" s="2">
        <v>0.23699999999999999</v>
      </c>
      <c r="H288" s="2" t="str">
        <f>("10662671102789")</f>
        <v>10662671102789</v>
      </c>
      <c r="I288" s="2">
        <v>25</v>
      </c>
      <c r="J288" s="2">
        <v>800</v>
      </c>
    </row>
    <row r="289" spans="1:10">
      <c r="A289" s="2" t="s">
        <v>10</v>
      </c>
      <c r="B289" s="2" t="str">
        <f>("662671102799")</f>
        <v>662671102799</v>
      </c>
      <c r="C289" s="2" t="s">
        <v>387</v>
      </c>
      <c r="D289" s="2" t="s">
        <v>388</v>
      </c>
      <c r="E289" s="2">
        <v>113.73</v>
      </c>
      <c r="F289" s="3">
        <v>45323</v>
      </c>
      <c r="G289" s="2">
        <v>0.25900000000000001</v>
      </c>
      <c r="H289" s="2" t="str">
        <f>("10662671102796")</f>
        <v>10662671102796</v>
      </c>
      <c r="I289" s="2">
        <v>25</v>
      </c>
      <c r="J289" s="2">
        <v>800</v>
      </c>
    </row>
    <row r="290" spans="1:10">
      <c r="A290" s="2" t="s">
        <v>10</v>
      </c>
      <c r="B290" s="2" t="str">
        <f>("662671102805")</f>
        <v>662671102805</v>
      </c>
      <c r="C290" s="2">
        <v>103644</v>
      </c>
      <c r="D290" s="2" t="s">
        <v>389</v>
      </c>
      <c r="E290" s="2">
        <v>346.51</v>
      </c>
      <c r="F290" s="3">
        <v>45323</v>
      </c>
      <c r="G290" s="2">
        <v>0.33700000000000002</v>
      </c>
      <c r="H290" s="2" t="str">
        <f>("10662671102802")</f>
        <v>10662671102802</v>
      </c>
      <c r="I290" s="2">
        <v>15</v>
      </c>
      <c r="J290" s="2">
        <v>480</v>
      </c>
    </row>
    <row r="291" spans="1:10">
      <c r="A291" s="2" t="s">
        <v>10</v>
      </c>
      <c r="B291" s="2" t="str">
        <f>("662671102812")</f>
        <v>662671102812</v>
      </c>
      <c r="C291" s="2" t="s">
        <v>390</v>
      </c>
      <c r="D291" s="2" t="s">
        <v>391</v>
      </c>
      <c r="E291" s="2">
        <v>30.01</v>
      </c>
      <c r="F291" s="3">
        <v>45323</v>
      </c>
      <c r="G291" s="2">
        <v>2.5000000000000001E-2</v>
      </c>
      <c r="H291" s="2" t="str">
        <f>("10662671102819")</f>
        <v>10662671102819</v>
      </c>
      <c r="I291" s="2">
        <v>100</v>
      </c>
      <c r="J291" s="2">
        <v>7200</v>
      </c>
    </row>
    <row r="292" spans="1:10">
      <c r="A292" s="2" t="s">
        <v>10</v>
      </c>
      <c r="B292" s="2" t="str">
        <f>("662671102829")</f>
        <v>662671102829</v>
      </c>
      <c r="C292" s="2" t="s">
        <v>392</v>
      </c>
      <c r="D292" s="2" t="s">
        <v>393</v>
      </c>
      <c r="E292" s="2">
        <v>62.98</v>
      </c>
      <c r="F292" s="3">
        <v>45323</v>
      </c>
      <c r="G292" s="2">
        <v>4.8000000000000001E-2</v>
      </c>
      <c r="H292" s="2" t="str">
        <f>("10662671102826")</f>
        <v>10662671102826</v>
      </c>
      <c r="I292" s="2">
        <v>100</v>
      </c>
      <c r="J292" s="2">
        <v>7200</v>
      </c>
    </row>
    <row r="293" spans="1:10">
      <c r="A293" s="2" t="s">
        <v>10</v>
      </c>
      <c r="B293" s="2" t="str">
        <f>("662671102836")</f>
        <v>662671102836</v>
      </c>
      <c r="C293" s="2" t="s">
        <v>394</v>
      </c>
      <c r="D293" s="2" t="s">
        <v>395</v>
      </c>
      <c r="E293" s="2">
        <v>25.99</v>
      </c>
      <c r="F293" s="3">
        <v>45323</v>
      </c>
      <c r="G293" s="2">
        <v>2.8000000000000001E-2</v>
      </c>
      <c r="H293" s="2" t="str">
        <f>("10662671102833")</f>
        <v>10662671102833</v>
      </c>
      <c r="I293" s="2">
        <v>100</v>
      </c>
      <c r="J293" s="2">
        <v>7200</v>
      </c>
    </row>
    <row r="294" spans="1:10">
      <c r="A294" s="2" t="s">
        <v>10</v>
      </c>
      <c r="B294" s="2" t="str">
        <f>("662671102843")</f>
        <v>662671102843</v>
      </c>
      <c r="C294" s="2" t="s">
        <v>396</v>
      </c>
      <c r="D294" s="2" t="s">
        <v>397</v>
      </c>
      <c r="E294" s="2">
        <v>49.56</v>
      </c>
      <c r="F294" s="3">
        <v>45323</v>
      </c>
      <c r="G294" s="2">
        <v>3.4000000000000002E-2</v>
      </c>
      <c r="H294" s="2" t="str">
        <f>("10662671102840")</f>
        <v>10662671102840</v>
      </c>
      <c r="I294" s="2">
        <v>90</v>
      </c>
      <c r="J294" s="2">
        <v>6480</v>
      </c>
    </row>
    <row r="295" spans="1:10">
      <c r="A295" s="2" t="s">
        <v>10</v>
      </c>
      <c r="B295" s="2" t="str">
        <f>("662671102867")</f>
        <v>662671102867</v>
      </c>
      <c r="C295" s="2" t="s">
        <v>398</v>
      </c>
      <c r="D295" s="2" t="s">
        <v>399</v>
      </c>
      <c r="E295" s="2">
        <v>77.61</v>
      </c>
      <c r="F295" s="3">
        <v>45323</v>
      </c>
      <c r="G295" s="2">
        <v>7.9000000000000001E-2</v>
      </c>
      <c r="H295" s="2" t="str">
        <f>("10662671102864")</f>
        <v>10662671102864</v>
      </c>
      <c r="I295" s="2">
        <v>50</v>
      </c>
      <c r="J295" s="2">
        <v>3600</v>
      </c>
    </row>
    <row r="296" spans="1:10">
      <c r="A296" s="2" t="s">
        <v>10</v>
      </c>
      <c r="B296" s="2" t="str">
        <f>("662671102874")</f>
        <v>662671102874</v>
      </c>
      <c r="C296" s="2" t="s">
        <v>400</v>
      </c>
      <c r="D296" s="2" t="s">
        <v>401</v>
      </c>
      <c r="E296" s="2">
        <v>79.209999999999994</v>
      </c>
      <c r="F296" s="3">
        <v>45323</v>
      </c>
      <c r="G296" s="2">
        <v>0.128</v>
      </c>
      <c r="H296" s="2" t="str">
        <f>("20662671102878")</f>
        <v>20662671102878</v>
      </c>
      <c r="I296" s="2">
        <v>35</v>
      </c>
      <c r="J296" s="2">
        <v>1680</v>
      </c>
    </row>
    <row r="297" spans="1:10">
      <c r="A297" s="2" t="s">
        <v>10</v>
      </c>
      <c r="B297" s="2" t="str">
        <f>("662671102881")</f>
        <v>662671102881</v>
      </c>
      <c r="C297" s="2" t="s">
        <v>402</v>
      </c>
      <c r="D297" s="2" t="s">
        <v>403</v>
      </c>
      <c r="E297" s="2">
        <v>117.54</v>
      </c>
      <c r="F297" s="3">
        <v>45323</v>
      </c>
      <c r="G297" s="2">
        <v>0.223</v>
      </c>
      <c r="H297" s="2" t="str">
        <f>("10662671102888")</f>
        <v>10662671102888</v>
      </c>
      <c r="I297" s="2">
        <v>30</v>
      </c>
      <c r="J297" s="2">
        <v>1440</v>
      </c>
    </row>
    <row r="298" spans="1:10">
      <c r="A298" s="2" t="s">
        <v>10</v>
      </c>
      <c r="B298" s="2" t="str">
        <f>("662671102898")</f>
        <v>662671102898</v>
      </c>
      <c r="C298" s="2" t="s">
        <v>404</v>
      </c>
      <c r="D298" s="2" t="s">
        <v>405</v>
      </c>
      <c r="E298" s="2">
        <v>135.97</v>
      </c>
      <c r="F298" s="3">
        <v>45323</v>
      </c>
      <c r="G298" s="2">
        <v>0.20300000000000001</v>
      </c>
      <c r="H298" s="2" t="str">
        <f>("10662671102895")</f>
        <v>10662671102895</v>
      </c>
      <c r="I298" s="2">
        <v>25</v>
      </c>
      <c r="J298" s="2">
        <v>800</v>
      </c>
    </row>
    <row r="299" spans="1:10">
      <c r="A299" s="2" t="s">
        <v>10</v>
      </c>
      <c r="B299" s="2" t="str">
        <f>("662671102904")</f>
        <v>662671102904</v>
      </c>
      <c r="C299" s="2" t="s">
        <v>406</v>
      </c>
      <c r="D299" s="2" t="s">
        <v>407</v>
      </c>
      <c r="E299" s="2">
        <v>247.61</v>
      </c>
      <c r="F299" s="3">
        <v>45323</v>
      </c>
      <c r="G299" s="2">
        <v>0.34599999999999997</v>
      </c>
      <c r="H299" s="2" t="str">
        <f>("10662671102901")</f>
        <v>10662671102901</v>
      </c>
      <c r="I299" s="2">
        <v>25</v>
      </c>
      <c r="J299" s="2">
        <v>800</v>
      </c>
    </row>
    <row r="300" spans="1:10">
      <c r="A300" s="2" t="s">
        <v>10</v>
      </c>
      <c r="B300" s="2" t="str">
        <f>("662671102928")</f>
        <v>662671102928</v>
      </c>
      <c r="C300" s="2" t="s">
        <v>408</v>
      </c>
      <c r="D300" s="2" t="s">
        <v>409</v>
      </c>
      <c r="E300" s="2">
        <v>963.53</v>
      </c>
      <c r="F300" s="3">
        <v>45323</v>
      </c>
      <c r="G300" s="2">
        <v>0.82499999999999996</v>
      </c>
      <c r="H300" s="2" t="str">
        <f>("10662671102925")</f>
        <v>10662671102925</v>
      </c>
      <c r="I300" s="2">
        <v>15</v>
      </c>
      <c r="J300" s="2">
        <v>270</v>
      </c>
    </row>
    <row r="301" spans="1:10">
      <c r="A301" s="2" t="s">
        <v>10</v>
      </c>
      <c r="B301" s="2" t="str">
        <f>("662671108807")</f>
        <v>662671108807</v>
      </c>
      <c r="C301" s="2">
        <v>103750</v>
      </c>
      <c r="D301" s="2" t="s">
        <v>410</v>
      </c>
      <c r="E301" s="2">
        <v>699.8</v>
      </c>
      <c r="F301" s="3">
        <v>45323</v>
      </c>
      <c r="G301" s="2">
        <v>0.30199999999999999</v>
      </c>
      <c r="H301" s="2" t="str">
        <f>("10662671108804")</f>
        <v>10662671108804</v>
      </c>
      <c r="I301" s="2">
        <v>15</v>
      </c>
      <c r="J301" s="2">
        <v>480</v>
      </c>
    </row>
    <row r="302" spans="1:10">
      <c r="A302" s="2" t="s">
        <v>10</v>
      </c>
      <c r="B302" s="2" t="str">
        <f>("662671108425")</f>
        <v>662671108425</v>
      </c>
      <c r="C302" s="2">
        <v>103761</v>
      </c>
      <c r="D302" s="2" t="s">
        <v>411</v>
      </c>
      <c r="E302" s="2">
        <v>34.409999999999997</v>
      </c>
      <c r="F302" s="3">
        <v>45323</v>
      </c>
      <c r="G302" s="2">
        <v>4.0000000000000001E-3</v>
      </c>
      <c r="H302" s="2" t="str">
        <f>("10662671108422")</f>
        <v>10662671108422</v>
      </c>
      <c r="I302" s="2">
        <v>100</v>
      </c>
    </row>
    <row r="303" spans="1:10">
      <c r="A303" s="2" t="s">
        <v>10</v>
      </c>
      <c r="B303" s="2" t="str">
        <f>("662671102935")</f>
        <v>662671102935</v>
      </c>
      <c r="C303" s="2">
        <v>103762</v>
      </c>
      <c r="D303" s="2" t="s">
        <v>412</v>
      </c>
      <c r="E303" s="2">
        <v>41.08</v>
      </c>
      <c r="F303" s="3">
        <v>45323</v>
      </c>
      <c r="G303" s="2">
        <v>8.0000000000000002E-3</v>
      </c>
      <c r="H303" s="2" t="str">
        <f>("10662671102932")</f>
        <v>10662671102932</v>
      </c>
      <c r="I303" s="2">
        <v>100</v>
      </c>
    </row>
    <row r="304" spans="1:10">
      <c r="A304" s="2" t="s">
        <v>10</v>
      </c>
      <c r="B304" s="2" t="str">
        <f>("662671102942")</f>
        <v>662671102942</v>
      </c>
      <c r="C304" s="2">
        <v>103763</v>
      </c>
      <c r="D304" s="2" t="s">
        <v>413</v>
      </c>
      <c r="E304" s="2">
        <v>42.14</v>
      </c>
      <c r="F304" s="3">
        <v>45323</v>
      </c>
      <c r="G304" s="2">
        <v>1.4999999999999999E-2</v>
      </c>
      <c r="H304" s="2" t="str">
        <f>("10662671102949")</f>
        <v>10662671102949</v>
      </c>
      <c r="I304" s="2">
        <v>100</v>
      </c>
      <c r="J304" s="2">
        <v>14400</v>
      </c>
    </row>
    <row r="305" spans="1:10">
      <c r="A305" s="2" t="s">
        <v>10</v>
      </c>
      <c r="B305" s="2" t="str">
        <f>("662671102959")</f>
        <v>662671102959</v>
      </c>
      <c r="C305" s="2">
        <v>103764</v>
      </c>
      <c r="D305" s="2" t="s">
        <v>414</v>
      </c>
      <c r="E305" s="2">
        <v>55</v>
      </c>
      <c r="F305" s="3">
        <v>45323</v>
      </c>
      <c r="G305" s="2">
        <v>3.2000000000000001E-2</v>
      </c>
      <c r="H305" s="2" t="str">
        <f>("10662671102956")</f>
        <v>10662671102956</v>
      </c>
      <c r="I305" s="2">
        <v>100</v>
      </c>
      <c r="J305" s="2">
        <v>7200</v>
      </c>
    </row>
    <row r="306" spans="1:10">
      <c r="A306" s="2" t="s">
        <v>10</v>
      </c>
      <c r="B306" s="2" t="str">
        <f>("662671103031")</f>
        <v>662671103031</v>
      </c>
      <c r="C306" s="2">
        <v>103863</v>
      </c>
      <c r="D306" s="2" t="s">
        <v>415</v>
      </c>
      <c r="E306" s="2">
        <v>81.31</v>
      </c>
      <c r="F306" s="3">
        <v>45323</v>
      </c>
      <c r="G306" s="2">
        <v>0.109</v>
      </c>
      <c r="H306" s="2" t="str">
        <f>("10662671103038")</f>
        <v>10662671103038</v>
      </c>
      <c r="I306" s="2">
        <v>50</v>
      </c>
      <c r="J306" s="2">
        <v>3600</v>
      </c>
    </row>
    <row r="307" spans="1:10">
      <c r="A307" s="2" t="s">
        <v>10</v>
      </c>
      <c r="B307" s="2" t="str">
        <f>("662671103048")</f>
        <v>662671103048</v>
      </c>
      <c r="C307" s="2">
        <v>103864</v>
      </c>
      <c r="D307" s="2" t="s">
        <v>416</v>
      </c>
      <c r="E307" s="2">
        <v>98.94</v>
      </c>
      <c r="F307" s="3">
        <v>45323</v>
      </c>
      <c r="G307" s="2">
        <v>0.17599999999999999</v>
      </c>
      <c r="H307" s="2" t="str">
        <f>("10662671103045")</f>
        <v>10662671103045</v>
      </c>
      <c r="I307" s="2">
        <v>25</v>
      </c>
      <c r="J307" s="2">
        <v>1800</v>
      </c>
    </row>
    <row r="308" spans="1:10">
      <c r="A308" s="2" t="s">
        <v>10</v>
      </c>
      <c r="B308" s="2" t="str">
        <f>("662671103055")</f>
        <v>662671103055</v>
      </c>
      <c r="C308" s="2">
        <v>103930</v>
      </c>
      <c r="D308" s="2" t="s">
        <v>417</v>
      </c>
      <c r="E308" s="2">
        <v>14.54</v>
      </c>
      <c r="F308" s="3">
        <v>45323</v>
      </c>
      <c r="G308" s="2">
        <v>8.0000000000000002E-3</v>
      </c>
      <c r="H308" s="2" t="str">
        <f>("10662671103052")</f>
        <v>10662671103052</v>
      </c>
      <c r="I308" s="2">
        <v>200</v>
      </c>
      <c r="J308" s="2">
        <v>28000</v>
      </c>
    </row>
    <row r="309" spans="1:10">
      <c r="A309" s="2" t="s">
        <v>10</v>
      </c>
      <c r="B309" s="2" t="str">
        <f>("662671103062")</f>
        <v>662671103062</v>
      </c>
      <c r="C309" s="2">
        <v>103931</v>
      </c>
      <c r="D309" s="2" t="s">
        <v>418</v>
      </c>
      <c r="E309" s="2">
        <v>12.47</v>
      </c>
      <c r="F309" s="3">
        <v>45323</v>
      </c>
      <c r="G309" s="2">
        <v>0.01</v>
      </c>
      <c r="H309" s="2" t="str">
        <f>("00662671103062")</f>
        <v>00662671103062</v>
      </c>
      <c r="I309" s="2">
        <v>1</v>
      </c>
    </row>
    <row r="310" spans="1:10">
      <c r="A310" s="2" t="s">
        <v>10</v>
      </c>
      <c r="B310" s="2" t="str">
        <f>("662671103079")</f>
        <v>662671103079</v>
      </c>
      <c r="C310" s="2">
        <v>103932</v>
      </c>
      <c r="D310" s="2" t="s">
        <v>419</v>
      </c>
      <c r="E310" s="2">
        <v>39.44</v>
      </c>
      <c r="F310" s="3">
        <v>45323</v>
      </c>
      <c r="G310" s="2">
        <v>1.4E-2</v>
      </c>
      <c r="H310" s="2" t="str">
        <f>("10662671103076")</f>
        <v>10662671103076</v>
      </c>
      <c r="I310" s="2">
        <v>600</v>
      </c>
      <c r="J310" s="2">
        <v>19200</v>
      </c>
    </row>
    <row r="311" spans="1:10">
      <c r="A311" s="2" t="s">
        <v>10</v>
      </c>
      <c r="B311" s="2" t="str">
        <f>("662671103086")</f>
        <v>662671103086</v>
      </c>
      <c r="C311" s="2" t="s">
        <v>420</v>
      </c>
      <c r="D311" s="2" t="s">
        <v>421</v>
      </c>
      <c r="E311" s="2">
        <v>253.93</v>
      </c>
      <c r="F311" s="3">
        <v>45323</v>
      </c>
      <c r="G311" s="2">
        <v>0.186</v>
      </c>
      <c r="H311" s="2" t="str">
        <f>("20662671103080")</f>
        <v>20662671103080</v>
      </c>
      <c r="I311" s="2">
        <v>20</v>
      </c>
      <c r="J311" s="2">
        <v>480</v>
      </c>
    </row>
    <row r="312" spans="1:10">
      <c r="A312" s="2" t="s">
        <v>10</v>
      </c>
      <c r="B312" s="2" t="str">
        <f>("662671103116")</f>
        <v>662671103116</v>
      </c>
      <c r="C312" s="2" t="s">
        <v>422</v>
      </c>
      <c r="D312" s="2" t="s">
        <v>423</v>
      </c>
      <c r="E312" s="2">
        <v>305.13</v>
      </c>
      <c r="F312" s="3">
        <v>45323</v>
      </c>
      <c r="G312" s="2">
        <v>0.215</v>
      </c>
      <c r="H312" s="2" t="str">
        <f>("20662671103110")</f>
        <v>20662671103110</v>
      </c>
      <c r="I312" s="2">
        <v>20</v>
      </c>
      <c r="J312" s="2">
        <v>640</v>
      </c>
    </row>
    <row r="313" spans="1:10">
      <c r="A313" s="2" t="s">
        <v>10</v>
      </c>
      <c r="B313" s="2" t="str">
        <f>("662671108876")</f>
        <v>662671108876</v>
      </c>
      <c r="C313" s="2" t="s">
        <v>424</v>
      </c>
      <c r="D313" s="2" t="s">
        <v>425</v>
      </c>
      <c r="E313" s="2">
        <v>152.82</v>
      </c>
      <c r="F313" s="3">
        <v>45323</v>
      </c>
      <c r="G313" s="2">
        <v>0.26800000000000002</v>
      </c>
      <c r="H313" s="2" t="str">
        <f>("20662671108870")</f>
        <v>20662671108870</v>
      </c>
      <c r="I313" s="2">
        <v>15</v>
      </c>
      <c r="J313" s="2">
        <v>720</v>
      </c>
    </row>
    <row r="314" spans="1:10">
      <c r="A314" s="2" t="s">
        <v>10</v>
      </c>
      <c r="B314" s="2" t="str">
        <f>("662671108883")</f>
        <v>662671108883</v>
      </c>
      <c r="C314" s="2" t="s">
        <v>426</v>
      </c>
      <c r="D314" s="2" t="s">
        <v>427</v>
      </c>
      <c r="E314" s="2">
        <v>152.82</v>
      </c>
      <c r="F314" s="3">
        <v>45323</v>
      </c>
      <c r="G314" s="2">
        <v>0.25700000000000001</v>
      </c>
      <c r="H314" s="2" t="str">
        <f>("20662671108887")</f>
        <v>20662671108887</v>
      </c>
      <c r="I314" s="2">
        <v>15</v>
      </c>
      <c r="J314" s="2">
        <v>720</v>
      </c>
    </row>
    <row r="315" spans="1:10">
      <c r="A315" s="2" t="s">
        <v>10</v>
      </c>
      <c r="B315" s="2" t="str">
        <f>("662671108890")</f>
        <v>662671108890</v>
      </c>
      <c r="C315" s="2" t="s">
        <v>428</v>
      </c>
      <c r="D315" s="2" t="s">
        <v>429</v>
      </c>
      <c r="E315" s="2">
        <v>237.39</v>
      </c>
      <c r="F315" s="3">
        <v>45323</v>
      </c>
      <c r="G315" s="2">
        <v>0.32</v>
      </c>
      <c r="H315" s="2" t="str">
        <f>("20662671108894")</f>
        <v>20662671108894</v>
      </c>
      <c r="I315" s="2">
        <v>15</v>
      </c>
      <c r="J315" s="2">
        <v>720</v>
      </c>
    </row>
    <row r="316" spans="1:10">
      <c r="A316" s="2" t="s">
        <v>10</v>
      </c>
      <c r="B316" s="2" t="str">
        <f>("662671108906")</f>
        <v>662671108906</v>
      </c>
      <c r="C316" s="2" t="s">
        <v>430</v>
      </c>
      <c r="D316" s="2" t="s">
        <v>431</v>
      </c>
      <c r="E316" s="2">
        <v>237.39</v>
      </c>
      <c r="F316" s="3">
        <v>45323</v>
      </c>
      <c r="G316" s="2">
        <v>0.30399999999999999</v>
      </c>
      <c r="H316" s="2" t="str">
        <f>("20662671108900")</f>
        <v>20662671108900</v>
      </c>
      <c r="I316" s="2">
        <v>15</v>
      </c>
      <c r="J316" s="2">
        <v>720</v>
      </c>
    </row>
    <row r="317" spans="1:10">
      <c r="A317" s="2" t="s">
        <v>10</v>
      </c>
      <c r="B317" s="2" t="str">
        <f>("662671106834")</f>
        <v>662671106834</v>
      </c>
      <c r="C317" s="2">
        <v>104149</v>
      </c>
      <c r="D317" s="2" t="s">
        <v>432</v>
      </c>
      <c r="E317" s="2">
        <v>598.30999999999995</v>
      </c>
      <c r="F317" s="3">
        <v>45323</v>
      </c>
      <c r="G317" s="2">
        <v>0.192</v>
      </c>
      <c r="H317" s="2" t="str">
        <f>("10662671106831")</f>
        <v>10662671106831</v>
      </c>
      <c r="I317" s="2">
        <v>20</v>
      </c>
      <c r="J317" s="2">
        <v>960</v>
      </c>
    </row>
    <row r="318" spans="1:10">
      <c r="A318" s="2" t="s">
        <v>10</v>
      </c>
      <c r="B318" s="2" t="str">
        <f>("662671107336")</f>
        <v>662671107336</v>
      </c>
      <c r="C318" s="2">
        <v>104152</v>
      </c>
      <c r="D318" s="2" t="s">
        <v>433</v>
      </c>
      <c r="E318" s="2">
        <v>234.67</v>
      </c>
      <c r="F318" s="3">
        <v>45323</v>
      </c>
      <c r="G318" s="2">
        <v>0.29699999999999999</v>
      </c>
      <c r="H318" s="2" t="str">
        <f>("10662671107333")</f>
        <v>10662671107333</v>
      </c>
      <c r="I318" s="2">
        <v>20</v>
      </c>
      <c r="J318" s="2">
        <v>640</v>
      </c>
    </row>
    <row r="319" spans="1:10">
      <c r="A319" s="2" t="s">
        <v>10</v>
      </c>
      <c r="B319" s="2" t="str">
        <f>("662671108036")</f>
        <v>662671108036</v>
      </c>
      <c r="C319" s="2">
        <v>104154</v>
      </c>
      <c r="D319" s="2" t="s">
        <v>434</v>
      </c>
      <c r="E319" s="2">
        <v>588.65</v>
      </c>
      <c r="F319" s="3">
        <v>45323</v>
      </c>
      <c r="G319" s="2">
        <v>0.85</v>
      </c>
      <c r="H319" s="2" t="str">
        <f>("10662671108033")</f>
        <v>10662671108033</v>
      </c>
      <c r="I319" s="2">
        <v>10</v>
      </c>
      <c r="J319" s="2">
        <v>180</v>
      </c>
    </row>
    <row r="320" spans="1:10">
      <c r="A320" s="2" t="s">
        <v>10</v>
      </c>
      <c r="B320" s="2" t="str">
        <f>("662671107121")</f>
        <v>662671107121</v>
      </c>
      <c r="C320" s="2">
        <v>104155</v>
      </c>
      <c r="D320" s="2" t="s">
        <v>435</v>
      </c>
      <c r="E320" s="2">
        <v>598.30999999999995</v>
      </c>
      <c r="F320" s="3">
        <v>45323</v>
      </c>
      <c r="G320" s="2">
        <v>0.89100000000000001</v>
      </c>
      <c r="H320" s="2" t="str">
        <f>("10662671107128")</f>
        <v>10662671107128</v>
      </c>
      <c r="I320" s="2">
        <v>10</v>
      </c>
      <c r="J320" s="2">
        <v>180</v>
      </c>
    </row>
    <row r="321" spans="1:10">
      <c r="A321" s="2" t="s">
        <v>10</v>
      </c>
      <c r="B321" s="2" t="str">
        <f>("662671107589")</f>
        <v>662671107589</v>
      </c>
      <c r="C321" s="2">
        <v>104301</v>
      </c>
      <c r="D321" s="2" t="s">
        <v>436</v>
      </c>
      <c r="E321" s="2">
        <v>97.86</v>
      </c>
      <c r="F321" s="3">
        <v>45323</v>
      </c>
      <c r="G321" s="2">
        <v>0.16600000000000001</v>
      </c>
      <c r="H321" s="2" t="str">
        <f>("10662671107586")</f>
        <v>10662671107586</v>
      </c>
      <c r="I321" s="2">
        <v>40</v>
      </c>
      <c r="J321" s="2">
        <v>1280</v>
      </c>
    </row>
    <row r="322" spans="1:10">
      <c r="A322" s="2" t="s">
        <v>10</v>
      </c>
      <c r="B322" s="2" t="str">
        <f>("662671106858")</f>
        <v>662671106858</v>
      </c>
      <c r="C322" s="2">
        <v>104302</v>
      </c>
      <c r="D322" s="2" t="s">
        <v>437</v>
      </c>
      <c r="E322" s="2">
        <v>159.59</v>
      </c>
      <c r="F322" s="3">
        <v>45323</v>
      </c>
      <c r="G322" s="2">
        <v>0.245</v>
      </c>
      <c r="H322" s="2" t="str">
        <f>("10662671106855")</f>
        <v>10662671106855</v>
      </c>
      <c r="I322" s="2">
        <v>25</v>
      </c>
      <c r="J322" s="2">
        <v>800</v>
      </c>
    </row>
    <row r="323" spans="1:10">
      <c r="A323" s="2" t="s">
        <v>10</v>
      </c>
      <c r="B323" s="2" t="str">
        <f>("662671108654")</f>
        <v>662671108654</v>
      </c>
      <c r="C323" s="2">
        <v>104303</v>
      </c>
      <c r="D323" s="2" t="s">
        <v>438</v>
      </c>
      <c r="E323" s="2">
        <v>236.75</v>
      </c>
      <c r="F323" s="3">
        <v>45323</v>
      </c>
      <c r="G323" s="2">
        <v>0.75800000000000001</v>
      </c>
      <c r="H323" s="2" t="str">
        <f>("10662671108651")</f>
        <v>10662671108651</v>
      </c>
      <c r="I323" s="2">
        <v>10</v>
      </c>
      <c r="J323" s="2">
        <v>240</v>
      </c>
    </row>
    <row r="324" spans="1:10">
      <c r="A324" s="2" t="s">
        <v>10</v>
      </c>
      <c r="B324" s="2" t="str">
        <f>("662671107619")</f>
        <v>662671107619</v>
      </c>
      <c r="C324" s="2">
        <v>104304</v>
      </c>
      <c r="D324" s="2" t="s">
        <v>439</v>
      </c>
      <c r="E324" s="2">
        <v>377.62</v>
      </c>
      <c r="F324" s="3">
        <v>45323</v>
      </c>
      <c r="G324" s="2">
        <v>1.4139999999999999</v>
      </c>
      <c r="H324" s="2" t="str">
        <f>("10662671107616")</f>
        <v>10662671107616</v>
      </c>
      <c r="I324" s="2">
        <v>5</v>
      </c>
      <c r="J324" s="2">
        <v>90</v>
      </c>
    </row>
    <row r="325" spans="1:10">
      <c r="A325" s="2" t="s">
        <v>10</v>
      </c>
      <c r="B325" s="2" t="str">
        <f>("662671108043")</f>
        <v>662671108043</v>
      </c>
      <c r="C325" s="2">
        <v>104317</v>
      </c>
      <c r="D325" s="2" t="s">
        <v>440</v>
      </c>
      <c r="E325" s="2">
        <v>144.4</v>
      </c>
      <c r="F325" s="3">
        <v>45323</v>
      </c>
      <c r="G325" s="2">
        <v>0.182</v>
      </c>
      <c r="H325" s="2" t="str">
        <f>("10662671108040")</f>
        <v>10662671108040</v>
      </c>
      <c r="I325" s="2">
        <v>35</v>
      </c>
      <c r="J325" s="2">
        <v>1120</v>
      </c>
    </row>
    <row r="326" spans="1:10">
      <c r="A326" s="2" t="s">
        <v>10</v>
      </c>
      <c r="B326" s="2" t="str">
        <f>("662671108050")</f>
        <v>662671108050</v>
      </c>
      <c r="C326" s="2">
        <v>104318</v>
      </c>
      <c r="D326" s="2" t="s">
        <v>441</v>
      </c>
      <c r="E326" s="2">
        <v>160.13</v>
      </c>
      <c r="F326" s="3">
        <v>45323</v>
      </c>
      <c r="G326" s="2">
        <v>0.24399999999999999</v>
      </c>
      <c r="H326" s="2" t="str">
        <f>("10662671108057")</f>
        <v>10662671108057</v>
      </c>
      <c r="I326" s="2">
        <v>50</v>
      </c>
      <c r="J326" s="2">
        <v>900</v>
      </c>
    </row>
    <row r="327" spans="1:10">
      <c r="A327" s="2" t="s">
        <v>10</v>
      </c>
      <c r="B327" s="2" t="str">
        <f>("662671108067")</f>
        <v>662671108067</v>
      </c>
      <c r="C327" s="2">
        <v>104320</v>
      </c>
      <c r="D327" s="2" t="s">
        <v>442</v>
      </c>
      <c r="E327" s="2">
        <v>117.76</v>
      </c>
      <c r="F327" s="3">
        <v>45323</v>
      </c>
      <c r="G327" s="2">
        <v>0.18</v>
      </c>
      <c r="H327" s="2" t="str">
        <f>("10662671108064")</f>
        <v>10662671108064</v>
      </c>
      <c r="I327" s="2">
        <v>20</v>
      </c>
      <c r="J327" s="2">
        <v>960</v>
      </c>
    </row>
    <row r="328" spans="1:10">
      <c r="A328" s="2" t="s">
        <v>10</v>
      </c>
      <c r="B328" s="2" t="str">
        <f>("662671107138")</f>
        <v>662671107138</v>
      </c>
      <c r="C328" s="2">
        <v>104326</v>
      </c>
      <c r="D328" s="2" t="s">
        <v>443</v>
      </c>
      <c r="E328" s="2">
        <v>256.07</v>
      </c>
      <c r="F328" s="3">
        <v>45323</v>
      </c>
      <c r="G328" s="2">
        <v>0.34899999999999998</v>
      </c>
      <c r="H328" s="2" t="str">
        <f>("10662671107135")</f>
        <v>10662671107135</v>
      </c>
      <c r="I328" s="2">
        <v>15</v>
      </c>
      <c r="J328" s="2">
        <v>480</v>
      </c>
    </row>
    <row r="329" spans="1:10">
      <c r="A329" s="2" t="s">
        <v>10</v>
      </c>
      <c r="B329" s="2" t="str">
        <f>("662671107145")</f>
        <v>662671107145</v>
      </c>
      <c r="C329" s="2">
        <v>104327</v>
      </c>
      <c r="D329" s="2" t="s">
        <v>444</v>
      </c>
      <c r="E329" s="2">
        <v>157.63</v>
      </c>
      <c r="F329" s="3">
        <v>45323</v>
      </c>
      <c r="G329" s="2">
        <v>0.433</v>
      </c>
      <c r="H329" s="2" t="str">
        <f>("10662671107142")</f>
        <v>10662671107142</v>
      </c>
      <c r="I329" s="2">
        <v>12</v>
      </c>
      <c r="J329" s="2">
        <v>384</v>
      </c>
    </row>
    <row r="330" spans="1:10">
      <c r="A330" s="2" t="s">
        <v>10</v>
      </c>
      <c r="B330" s="2" t="str">
        <f>("662671107343")</f>
        <v>662671107343</v>
      </c>
      <c r="C330" s="2">
        <v>104337</v>
      </c>
      <c r="D330" s="2" t="s">
        <v>445</v>
      </c>
      <c r="E330" s="2">
        <v>349.93</v>
      </c>
      <c r="F330" s="3">
        <v>45323</v>
      </c>
      <c r="G330" s="2">
        <v>0.61799999999999999</v>
      </c>
      <c r="H330" s="2" t="str">
        <f>("10662671107340")</f>
        <v>10662671107340</v>
      </c>
      <c r="I330" s="2">
        <v>15</v>
      </c>
      <c r="J330" s="2">
        <v>270</v>
      </c>
    </row>
    <row r="331" spans="1:10">
      <c r="A331" s="2" t="s">
        <v>10</v>
      </c>
      <c r="B331" s="2" t="str">
        <f>("662671107725")</f>
        <v>662671107725</v>
      </c>
      <c r="C331" s="2">
        <v>104338</v>
      </c>
      <c r="D331" s="2" t="s">
        <v>446</v>
      </c>
      <c r="E331" s="2">
        <v>852.76</v>
      </c>
      <c r="F331" s="3">
        <v>45323</v>
      </c>
      <c r="G331" s="2">
        <v>0.98699999999999999</v>
      </c>
      <c r="H331" s="2" t="str">
        <f>("10662671107722")</f>
        <v>10662671107722</v>
      </c>
      <c r="I331" s="2">
        <v>8</v>
      </c>
      <c r="J331" s="2">
        <v>144</v>
      </c>
    </row>
    <row r="332" spans="1:10">
      <c r="A332" s="2" t="s">
        <v>10</v>
      </c>
      <c r="B332" s="2" t="str">
        <f>("662671108074")</f>
        <v>662671108074</v>
      </c>
      <c r="C332" s="2" t="s">
        <v>447</v>
      </c>
      <c r="D332" s="2" t="s">
        <v>448</v>
      </c>
      <c r="E332" s="2">
        <v>124.64</v>
      </c>
      <c r="F332" s="3">
        <v>45323</v>
      </c>
      <c r="G332" s="2">
        <v>0.129</v>
      </c>
      <c r="H332" s="2" t="str">
        <f>("10662671108071")</f>
        <v>10662671108071</v>
      </c>
      <c r="I332" s="2">
        <v>20</v>
      </c>
      <c r="J332" s="2">
        <v>1440</v>
      </c>
    </row>
    <row r="333" spans="1:10">
      <c r="A333" s="2" t="s">
        <v>10</v>
      </c>
      <c r="B333" s="2" t="str">
        <f>("662671107299")</f>
        <v>662671107299</v>
      </c>
      <c r="C333" s="2" t="s">
        <v>449</v>
      </c>
      <c r="D333" s="2" t="s">
        <v>450</v>
      </c>
      <c r="E333" s="2">
        <v>207.63</v>
      </c>
      <c r="F333" s="3">
        <v>45323</v>
      </c>
      <c r="G333" s="2">
        <v>0.34100000000000003</v>
      </c>
      <c r="H333" s="2" t="str">
        <f>("10662671107296")</f>
        <v>10662671107296</v>
      </c>
      <c r="I333" s="2">
        <v>20</v>
      </c>
      <c r="J333" s="2">
        <v>640</v>
      </c>
    </row>
    <row r="334" spans="1:10">
      <c r="A334" s="2" t="s">
        <v>10</v>
      </c>
      <c r="B334" s="2" t="str">
        <f>("662671103154")</f>
        <v>662671103154</v>
      </c>
      <c r="C334" s="2">
        <v>105131</v>
      </c>
      <c r="D334" s="2" t="s">
        <v>451</v>
      </c>
      <c r="E334" s="2">
        <v>131.32</v>
      </c>
      <c r="F334" s="3">
        <v>45323</v>
      </c>
      <c r="G334" s="2">
        <v>0.24399999999999999</v>
      </c>
      <c r="H334" s="2" t="str">
        <f>("10662671103151")</f>
        <v>10662671103151</v>
      </c>
      <c r="I334" s="2">
        <v>25</v>
      </c>
      <c r="J334" s="2">
        <v>800</v>
      </c>
    </row>
    <row r="335" spans="1:10">
      <c r="A335" s="2" t="s">
        <v>10</v>
      </c>
      <c r="B335" s="2" t="str">
        <f>("662671103178")</f>
        <v>662671103178</v>
      </c>
      <c r="C335" s="2">
        <v>105151</v>
      </c>
      <c r="D335" s="2" t="s">
        <v>452</v>
      </c>
      <c r="E335" s="2">
        <v>78.040000000000006</v>
      </c>
      <c r="F335" s="3">
        <v>45323</v>
      </c>
      <c r="G335" s="2">
        <v>7.6999999999999999E-2</v>
      </c>
      <c r="H335" s="2" t="str">
        <f>("10662671103175")</f>
        <v>10662671103175</v>
      </c>
      <c r="I335" s="2">
        <v>90</v>
      </c>
      <c r="J335" s="2">
        <v>2880</v>
      </c>
    </row>
    <row r="336" spans="1:10">
      <c r="A336" s="2" t="s">
        <v>10</v>
      </c>
      <c r="B336" s="2" t="str">
        <f>("662671103185")</f>
        <v>662671103185</v>
      </c>
      <c r="C336" s="2">
        <v>105153</v>
      </c>
      <c r="D336" s="2" t="s">
        <v>453</v>
      </c>
      <c r="E336" s="2">
        <v>190.02</v>
      </c>
      <c r="F336" s="3">
        <v>45323</v>
      </c>
      <c r="G336" s="2">
        <v>0.46</v>
      </c>
      <c r="H336" s="2" t="str">
        <f>("10662671103182")</f>
        <v>10662671103182</v>
      </c>
      <c r="I336" s="2">
        <v>20</v>
      </c>
      <c r="J336" s="2">
        <v>360</v>
      </c>
    </row>
    <row r="337" spans="1:10">
      <c r="A337" s="2" t="s">
        <v>10</v>
      </c>
      <c r="B337" s="2" t="str">
        <f>("662671103192")</f>
        <v>662671103192</v>
      </c>
      <c r="C337" s="2">
        <v>105154</v>
      </c>
      <c r="D337" s="2" t="s">
        <v>454</v>
      </c>
      <c r="E337" s="2">
        <v>510.83</v>
      </c>
      <c r="F337" s="3">
        <v>45323</v>
      </c>
      <c r="G337" s="2">
        <v>0.71699999999999997</v>
      </c>
      <c r="H337" s="2" t="str">
        <f>("10662671103199")</f>
        <v>10662671103199</v>
      </c>
      <c r="I337" s="2">
        <v>12</v>
      </c>
      <c r="J337" s="2">
        <v>216</v>
      </c>
    </row>
    <row r="338" spans="1:10">
      <c r="A338" s="2" t="s">
        <v>10</v>
      </c>
      <c r="B338" s="2" t="str">
        <f>("662671108777")</f>
        <v>662671108777</v>
      </c>
      <c r="C338" s="2">
        <v>105276</v>
      </c>
      <c r="D338" s="2" t="s">
        <v>455</v>
      </c>
      <c r="E338" s="2">
        <v>51.78</v>
      </c>
      <c r="F338" s="3">
        <v>45323</v>
      </c>
      <c r="G338" s="2">
        <v>9.0999999999999998E-2</v>
      </c>
      <c r="H338" s="2" t="str">
        <f>("10662671108774")</f>
        <v>10662671108774</v>
      </c>
      <c r="I338" s="2">
        <v>30</v>
      </c>
      <c r="J338" s="2">
        <v>2160</v>
      </c>
    </row>
    <row r="339" spans="1:10">
      <c r="A339" s="2" t="s">
        <v>10</v>
      </c>
      <c r="B339" s="2" t="str">
        <f>("662671108784")</f>
        <v>662671108784</v>
      </c>
      <c r="C339" s="2">
        <v>105277</v>
      </c>
      <c r="D339" s="2" t="s">
        <v>456</v>
      </c>
      <c r="E339" s="2">
        <v>94.28</v>
      </c>
      <c r="F339" s="3">
        <v>45323</v>
      </c>
      <c r="G339" s="2">
        <v>0.13200000000000001</v>
      </c>
      <c r="H339" s="2" t="str">
        <f>("10662671108781")</f>
        <v>10662671108781</v>
      </c>
      <c r="I339" s="2">
        <v>25</v>
      </c>
      <c r="J339" s="2">
        <v>1200</v>
      </c>
    </row>
    <row r="340" spans="1:10">
      <c r="A340" s="2" t="s">
        <v>10</v>
      </c>
      <c r="B340" s="2" t="str">
        <f>("662671108098")</f>
        <v>662671108098</v>
      </c>
      <c r="C340" s="2">
        <v>105278</v>
      </c>
      <c r="D340" s="2" t="s">
        <v>457</v>
      </c>
      <c r="E340" s="2">
        <v>216.02</v>
      </c>
      <c r="F340" s="3">
        <v>45323</v>
      </c>
      <c r="G340" s="2">
        <v>0.38</v>
      </c>
      <c r="H340" s="2" t="str">
        <f>("10662671108095")</f>
        <v>10662671108095</v>
      </c>
      <c r="I340" s="2">
        <v>25</v>
      </c>
      <c r="J340" s="2">
        <v>450</v>
      </c>
    </row>
    <row r="341" spans="1:10">
      <c r="A341" s="2" t="s">
        <v>10</v>
      </c>
      <c r="B341" s="2" t="str">
        <f>("662671109347")</f>
        <v>662671109347</v>
      </c>
      <c r="C341" s="2">
        <v>105279</v>
      </c>
      <c r="D341" s="2" t="s">
        <v>458</v>
      </c>
      <c r="E341" s="2">
        <v>313.49</v>
      </c>
      <c r="F341" s="3">
        <v>45323</v>
      </c>
      <c r="G341" s="2">
        <v>0.753</v>
      </c>
      <c r="H341" s="2" t="str">
        <f>("10662671109344")</f>
        <v>10662671109344</v>
      </c>
      <c r="I341" s="2">
        <v>12</v>
      </c>
      <c r="J341" s="2">
        <v>216</v>
      </c>
    </row>
    <row r="342" spans="1:10">
      <c r="A342" s="2" t="s">
        <v>10</v>
      </c>
      <c r="B342" s="2" t="str">
        <f>("662671103208")</f>
        <v>662671103208</v>
      </c>
      <c r="C342" s="2">
        <v>105303</v>
      </c>
      <c r="D342" s="2" t="s">
        <v>459</v>
      </c>
      <c r="E342" s="2">
        <v>302.86</v>
      </c>
      <c r="F342" s="3">
        <v>45323</v>
      </c>
      <c r="G342" s="2">
        <v>0.442</v>
      </c>
      <c r="H342" s="2" t="str">
        <f>("10662671103205")</f>
        <v>10662671103205</v>
      </c>
      <c r="I342" s="2">
        <v>20</v>
      </c>
      <c r="J342" s="2">
        <v>360</v>
      </c>
    </row>
    <row r="343" spans="1:10">
      <c r="A343" s="2" t="s">
        <v>10</v>
      </c>
      <c r="B343" s="2" t="str">
        <f>("662671108944")</f>
        <v>662671108944</v>
      </c>
      <c r="C343" s="2" t="s">
        <v>460</v>
      </c>
      <c r="D343" s="2" t="s">
        <v>461</v>
      </c>
      <c r="E343" s="2">
        <v>7.4</v>
      </c>
      <c r="F343" s="3">
        <v>45323</v>
      </c>
      <c r="G343" s="2">
        <v>1E-3</v>
      </c>
      <c r="H343" s="2" t="str">
        <f>("50662671108949")</f>
        <v>50662671108949</v>
      </c>
      <c r="I343" s="2">
        <v>1000</v>
      </c>
      <c r="J343" s="2">
        <v>144000</v>
      </c>
    </row>
    <row r="344" spans="1:10">
      <c r="A344" s="2" t="s">
        <v>10</v>
      </c>
      <c r="B344" s="2" t="str">
        <f>("662671103239")</f>
        <v>662671103239</v>
      </c>
      <c r="C344" s="2" t="s">
        <v>462</v>
      </c>
      <c r="D344" s="2" t="s">
        <v>463</v>
      </c>
      <c r="E344" s="2">
        <v>7.62</v>
      </c>
      <c r="F344" s="3">
        <v>45323</v>
      </c>
      <c r="G344" s="2">
        <v>1E-3</v>
      </c>
      <c r="H344" s="2" t="str">
        <f>("30662671103230")</f>
        <v>30662671103230</v>
      </c>
      <c r="I344" s="2">
        <v>800</v>
      </c>
      <c r="J344" s="2">
        <v>115200</v>
      </c>
    </row>
    <row r="345" spans="1:10">
      <c r="A345" s="2" t="s">
        <v>10</v>
      </c>
      <c r="B345" s="2" t="str">
        <f>("662671103246")</f>
        <v>662671103246</v>
      </c>
      <c r="C345" s="2" t="s">
        <v>464</v>
      </c>
      <c r="D345" s="2" t="s">
        <v>465</v>
      </c>
      <c r="E345" s="2">
        <v>12.26</v>
      </c>
      <c r="F345" s="3">
        <v>45323</v>
      </c>
      <c r="G345" s="2">
        <v>2E-3</v>
      </c>
      <c r="H345" s="2" t="str">
        <f>("10662671103243")</f>
        <v>10662671103243</v>
      </c>
      <c r="I345" s="2">
        <v>400</v>
      </c>
      <c r="J345" s="2">
        <v>57600</v>
      </c>
    </row>
    <row r="346" spans="1:10">
      <c r="A346" s="2" t="s">
        <v>10</v>
      </c>
      <c r="B346" s="2" t="str">
        <f>("662671057433")</f>
        <v>662671057433</v>
      </c>
      <c r="C346" s="2" t="s">
        <v>466</v>
      </c>
      <c r="D346" s="2" t="s">
        <v>467</v>
      </c>
      <c r="E346" s="2">
        <v>115.33</v>
      </c>
      <c r="F346" s="3">
        <v>45323</v>
      </c>
      <c r="G346" s="2">
        <v>0.24199999999999999</v>
      </c>
      <c r="H346" s="2" t="str">
        <f>("10662671057430")</f>
        <v>10662671057430</v>
      </c>
      <c r="I346" s="2">
        <v>25</v>
      </c>
      <c r="J346" s="2">
        <v>800</v>
      </c>
    </row>
    <row r="347" spans="1:10">
      <c r="A347" s="2" t="s">
        <v>10</v>
      </c>
      <c r="B347" s="2" t="str">
        <f>("662671110176")</f>
        <v>662671110176</v>
      </c>
      <c r="C347" s="2">
        <v>112002</v>
      </c>
      <c r="D347" s="2" t="s">
        <v>468</v>
      </c>
      <c r="E347" s="2">
        <v>32.68</v>
      </c>
      <c r="F347" s="3">
        <v>45323</v>
      </c>
      <c r="G347" s="2">
        <v>6.0000000000000001E-3</v>
      </c>
      <c r="H347" s="2" t="str">
        <f>("50662671110171")</f>
        <v>50662671110171</v>
      </c>
      <c r="I347" s="2">
        <v>50</v>
      </c>
      <c r="J347" s="2">
        <v>24500</v>
      </c>
    </row>
    <row r="348" spans="1:10">
      <c r="A348" s="2" t="s">
        <v>10</v>
      </c>
      <c r="B348" s="2" t="str">
        <f>("662671117571")</f>
        <v>662671117571</v>
      </c>
      <c r="C348" s="2" t="s">
        <v>469</v>
      </c>
      <c r="D348" s="2" t="s">
        <v>470</v>
      </c>
      <c r="E348" s="2">
        <v>33.020000000000003</v>
      </c>
      <c r="F348" s="3">
        <v>45323</v>
      </c>
      <c r="G348" s="2">
        <v>7.0000000000000001E-3</v>
      </c>
      <c r="H348" s="2" t="str">
        <f>("10662671117578")</f>
        <v>10662671117578</v>
      </c>
      <c r="I348" s="2">
        <v>50</v>
      </c>
      <c r="J348" s="2">
        <v>24500</v>
      </c>
    </row>
    <row r="349" spans="1:10">
      <c r="A349" s="2" t="s">
        <v>10</v>
      </c>
      <c r="B349" s="2" t="str">
        <f>("662671110275")</f>
        <v>662671110275</v>
      </c>
      <c r="C349" s="2">
        <v>112003</v>
      </c>
      <c r="D349" s="2" t="s">
        <v>471</v>
      </c>
      <c r="E349" s="2">
        <v>61.57</v>
      </c>
      <c r="F349" s="3">
        <v>45323</v>
      </c>
      <c r="G349" s="2">
        <v>1.6E-2</v>
      </c>
      <c r="H349" s="2" t="str">
        <f>("10662671110272")</f>
        <v>10662671110272</v>
      </c>
      <c r="I349" s="2">
        <v>100</v>
      </c>
      <c r="J349" s="2">
        <v>14400</v>
      </c>
    </row>
    <row r="350" spans="1:10">
      <c r="A350" s="2" t="s">
        <v>10</v>
      </c>
      <c r="B350" s="2" t="str">
        <f>("662671117588")</f>
        <v>662671117588</v>
      </c>
      <c r="C350" s="2" t="s">
        <v>472</v>
      </c>
      <c r="D350" s="2" t="s">
        <v>473</v>
      </c>
      <c r="E350" s="2">
        <v>61.57</v>
      </c>
      <c r="F350" s="3">
        <v>45323</v>
      </c>
      <c r="G350" s="2">
        <v>1.6E-2</v>
      </c>
      <c r="H350" s="2" t="str">
        <f>("10662671117585")</f>
        <v>10662671117585</v>
      </c>
      <c r="I350" s="2">
        <v>100</v>
      </c>
      <c r="J350" s="2">
        <v>14400</v>
      </c>
    </row>
    <row r="351" spans="1:10">
      <c r="A351" s="2" t="s">
        <v>10</v>
      </c>
      <c r="B351" s="2" t="str">
        <f>("662671117120")</f>
        <v>662671117120</v>
      </c>
      <c r="C351" s="2" t="s">
        <v>474</v>
      </c>
      <c r="D351" s="2" t="s">
        <v>475</v>
      </c>
      <c r="E351" s="2">
        <v>446.19</v>
      </c>
      <c r="F351" s="3">
        <v>45323</v>
      </c>
      <c r="G351" s="2">
        <v>0.751</v>
      </c>
      <c r="H351" s="2" t="str">
        <f>("10662671117127")</f>
        <v>10662671117127</v>
      </c>
      <c r="I351" s="2">
        <v>15</v>
      </c>
      <c r="J351" s="2">
        <v>270</v>
      </c>
    </row>
    <row r="352" spans="1:10">
      <c r="A352" s="2" t="s">
        <v>10</v>
      </c>
      <c r="B352" s="2" t="str">
        <f>("662671113504")</f>
        <v>662671113504</v>
      </c>
      <c r="C352" s="2" t="s">
        <v>476</v>
      </c>
      <c r="D352" s="2" t="s">
        <v>477</v>
      </c>
      <c r="E352" s="2">
        <v>107.39</v>
      </c>
      <c r="F352" s="3">
        <v>45323</v>
      </c>
      <c r="G352" s="2">
        <v>0.11899999999999999</v>
      </c>
      <c r="H352" s="2" t="str">
        <f>("10662671113501")</f>
        <v>10662671113501</v>
      </c>
      <c r="I352" s="2">
        <v>50</v>
      </c>
      <c r="J352" s="2">
        <v>1600</v>
      </c>
    </row>
    <row r="353" spans="1:10">
      <c r="A353" s="2" t="s">
        <v>10</v>
      </c>
      <c r="B353" s="2" t="str">
        <f>("662671113559")</f>
        <v>662671113559</v>
      </c>
      <c r="C353" s="2" t="s">
        <v>478</v>
      </c>
      <c r="D353" s="2" t="s">
        <v>479</v>
      </c>
      <c r="E353" s="2">
        <v>108.51</v>
      </c>
      <c r="F353" s="3">
        <v>45323</v>
      </c>
      <c r="G353" s="2">
        <v>0.115</v>
      </c>
      <c r="H353" s="2" t="str">
        <f>("10662671113556")</f>
        <v>10662671113556</v>
      </c>
      <c r="I353" s="2">
        <v>50</v>
      </c>
      <c r="J353" s="2">
        <v>1600</v>
      </c>
    </row>
    <row r="354" spans="1:10">
      <c r="A354" s="2" t="s">
        <v>10</v>
      </c>
      <c r="B354" s="2" t="str">
        <f>("662671110589")</f>
        <v>662671110589</v>
      </c>
      <c r="C354" s="2" t="s">
        <v>480</v>
      </c>
      <c r="D354" s="2" t="s">
        <v>481</v>
      </c>
      <c r="E354" s="2">
        <v>77.75</v>
      </c>
      <c r="F354" s="3">
        <v>45323</v>
      </c>
      <c r="G354" s="2">
        <v>7.0000000000000007E-2</v>
      </c>
      <c r="H354" s="2" t="str">
        <f>("10662671110586")</f>
        <v>10662671110586</v>
      </c>
      <c r="I354" s="2">
        <v>50</v>
      </c>
      <c r="J354" s="2">
        <v>3600</v>
      </c>
    </row>
    <row r="355" spans="1:10">
      <c r="A355" s="2" t="s">
        <v>10</v>
      </c>
      <c r="B355" s="2" t="str">
        <f>("662671100597")</f>
        <v>662671100597</v>
      </c>
      <c r="C355" s="2" t="s">
        <v>482</v>
      </c>
      <c r="D355" s="2" t="s">
        <v>483</v>
      </c>
      <c r="E355" s="2">
        <v>77.75</v>
      </c>
      <c r="F355" s="3">
        <v>45323</v>
      </c>
      <c r="G355" s="2">
        <v>6.5000000000000002E-2</v>
      </c>
      <c r="H355" s="2" t="str">
        <f>("10662671100594")</f>
        <v>10662671100594</v>
      </c>
      <c r="I355" s="2">
        <v>50</v>
      </c>
      <c r="J355" s="2">
        <v>3600</v>
      </c>
    </row>
    <row r="356" spans="1:10">
      <c r="A356" s="2" t="s">
        <v>10</v>
      </c>
      <c r="B356" s="2" t="str">
        <f>("662671113542")</f>
        <v>662671113542</v>
      </c>
      <c r="C356" s="2" t="s">
        <v>484</v>
      </c>
      <c r="D356" s="2" t="s">
        <v>485</v>
      </c>
      <c r="E356" s="2">
        <v>96.34</v>
      </c>
      <c r="F356" s="3">
        <v>45323</v>
      </c>
      <c r="G356" s="2">
        <v>6.2E-2</v>
      </c>
      <c r="H356" s="2" t="str">
        <f>("10662671113549")</f>
        <v>10662671113549</v>
      </c>
      <c r="I356" s="2">
        <v>50</v>
      </c>
      <c r="J356" s="2">
        <v>3600</v>
      </c>
    </row>
    <row r="357" spans="1:10">
      <c r="A357" s="2" t="s">
        <v>10</v>
      </c>
      <c r="B357" s="2" t="str">
        <f>("662671110237")</f>
        <v>662671110237</v>
      </c>
      <c r="C357" s="2">
        <v>112320</v>
      </c>
      <c r="D357" s="2" t="s">
        <v>486</v>
      </c>
      <c r="E357" s="2">
        <v>53.12</v>
      </c>
      <c r="F357" s="3">
        <v>45323</v>
      </c>
      <c r="G357" s="2">
        <v>2.5999999999999999E-2</v>
      </c>
      <c r="H357" s="2" t="str">
        <f>("20662671110231")</f>
        <v>20662671110231</v>
      </c>
      <c r="I357" s="2">
        <v>80</v>
      </c>
      <c r="J357" s="2">
        <v>11520</v>
      </c>
    </row>
    <row r="358" spans="1:10">
      <c r="A358" s="2" t="s">
        <v>10</v>
      </c>
      <c r="B358" s="2" t="str">
        <f>("662671103307")</f>
        <v>662671103307</v>
      </c>
      <c r="C358" s="2">
        <v>112321</v>
      </c>
      <c r="D358" s="2" t="s">
        <v>487</v>
      </c>
      <c r="E358" s="2">
        <v>61.57</v>
      </c>
      <c r="F358" s="3">
        <v>45323</v>
      </c>
      <c r="G358" s="2">
        <v>6.7000000000000004E-2</v>
      </c>
      <c r="H358" s="2" t="str">
        <f>("10662671103304")</f>
        <v>10662671103304</v>
      </c>
      <c r="I358" s="2">
        <v>40</v>
      </c>
      <c r="J358" s="2">
        <v>2880</v>
      </c>
    </row>
    <row r="359" spans="1:10">
      <c r="A359" s="2" t="s">
        <v>10</v>
      </c>
      <c r="B359" s="2" t="str">
        <f>("662671103468")</f>
        <v>662671103468</v>
      </c>
      <c r="C359" s="2">
        <v>112332</v>
      </c>
      <c r="D359" s="2" t="s">
        <v>488</v>
      </c>
      <c r="E359" s="2">
        <v>94.28</v>
      </c>
      <c r="F359" s="3">
        <v>45323</v>
      </c>
      <c r="G359" s="2">
        <v>7.2999999999999995E-2</v>
      </c>
      <c r="H359" s="2" t="str">
        <f>("10662671103465")</f>
        <v>10662671103465</v>
      </c>
      <c r="I359" s="2">
        <v>40</v>
      </c>
      <c r="J359" s="2">
        <v>2880</v>
      </c>
    </row>
    <row r="360" spans="1:10">
      <c r="A360" s="2" t="s">
        <v>10</v>
      </c>
      <c r="B360" s="2" t="str">
        <f>("662671116703")</f>
        <v>662671116703</v>
      </c>
      <c r="C360" s="2">
        <v>112333</v>
      </c>
      <c r="D360" s="2" t="s">
        <v>489</v>
      </c>
      <c r="E360" s="2">
        <v>94.28</v>
      </c>
      <c r="F360" s="3">
        <v>45323</v>
      </c>
      <c r="G360" s="2">
        <v>7.5999999999999998E-2</v>
      </c>
      <c r="H360" s="2" t="str">
        <f>("10662671116700")</f>
        <v>10662671116700</v>
      </c>
      <c r="I360" s="2">
        <v>40</v>
      </c>
      <c r="J360" s="2">
        <v>2880</v>
      </c>
    </row>
    <row r="361" spans="1:10">
      <c r="A361" s="2" t="s">
        <v>10</v>
      </c>
      <c r="B361" s="2" t="str">
        <f>("662671117441")</f>
        <v>662671117441</v>
      </c>
      <c r="C361" s="2">
        <v>113609</v>
      </c>
      <c r="D361" s="2" t="s">
        <v>490</v>
      </c>
      <c r="E361" s="2">
        <v>55</v>
      </c>
      <c r="F361" s="3">
        <v>45323</v>
      </c>
      <c r="G361" s="2">
        <v>7.4999999999999997E-2</v>
      </c>
      <c r="H361" s="2" t="str">
        <f>("10662671117448")</f>
        <v>10662671117448</v>
      </c>
      <c r="I361" s="2">
        <v>25</v>
      </c>
      <c r="J361" s="2">
        <v>3600</v>
      </c>
    </row>
    <row r="362" spans="1:10">
      <c r="A362" s="2" t="s">
        <v>10</v>
      </c>
      <c r="B362" s="2" t="str">
        <f>("662671117489")</f>
        <v>662671117489</v>
      </c>
      <c r="C362" s="2" t="s">
        <v>491</v>
      </c>
      <c r="D362" s="2" t="s">
        <v>492</v>
      </c>
      <c r="E362" s="2">
        <v>222.24</v>
      </c>
      <c r="F362" s="3">
        <v>45323</v>
      </c>
      <c r="G362" s="2">
        <v>0.245</v>
      </c>
      <c r="H362" s="2" t="str">
        <f>("10662671117486")</f>
        <v>10662671117486</v>
      </c>
      <c r="I362" s="2">
        <v>25</v>
      </c>
      <c r="J362" s="2">
        <v>800</v>
      </c>
    </row>
    <row r="363" spans="1:10">
      <c r="A363" s="2" t="s">
        <v>10</v>
      </c>
      <c r="B363" s="2" t="str">
        <f>("662671117465")</f>
        <v>662671117465</v>
      </c>
      <c r="C363" s="2" t="s">
        <v>493</v>
      </c>
      <c r="D363" s="2" t="s">
        <v>494</v>
      </c>
      <c r="E363" s="2">
        <v>203.78</v>
      </c>
      <c r="F363" s="3">
        <v>45323</v>
      </c>
      <c r="G363" s="2">
        <v>0.255</v>
      </c>
      <c r="H363" s="2" t="str">
        <f>("10662671117462")</f>
        <v>10662671117462</v>
      </c>
      <c r="I363" s="2">
        <v>25</v>
      </c>
      <c r="J363" s="2">
        <v>800</v>
      </c>
    </row>
    <row r="364" spans="1:10">
      <c r="A364" s="2" t="s">
        <v>10</v>
      </c>
      <c r="B364" s="2" t="str">
        <f>("662671103314")</f>
        <v>662671103314</v>
      </c>
      <c r="C364" s="2">
        <v>113628</v>
      </c>
      <c r="D364" s="2" t="s">
        <v>495</v>
      </c>
      <c r="E364" s="2">
        <v>260.64999999999998</v>
      </c>
      <c r="F364" s="3">
        <v>45323</v>
      </c>
      <c r="G364" s="2">
        <v>0.29499999999999998</v>
      </c>
      <c r="H364" s="2" t="str">
        <f>("10662671103311")</f>
        <v>10662671103311</v>
      </c>
      <c r="I364" s="2">
        <v>20</v>
      </c>
      <c r="J364" s="2">
        <v>640</v>
      </c>
    </row>
    <row r="365" spans="1:10">
      <c r="A365" s="2" t="s">
        <v>10</v>
      </c>
      <c r="B365" s="2" t="str">
        <f>("662671117496")</f>
        <v>662671117496</v>
      </c>
      <c r="C365" s="2" t="s">
        <v>496</v>
      </c>
      <c r="D365" s="2" t="s">
        <v>497</v>
      </c>
      <c r="E365" s="2">
        <v>325.77</v>
      </c>
      <c r="F365" s="3">
        <v>45323</v>
      </c>
      <c r="G365" s="2">
        <v>0.29599999999999999</v>
      </c>
      <c r="H365" s="2" t="str">
        <f>("10662671117493")</f>
        <v>10662671117493</v>
      </c>
      <c r="I365" s="2">
        <v>20</v>
      </c>
    </row>
    <row r="366" spans="1:10">
      <c r="A366" s="2" t="s">
        <v>10</v>
      </c>
      <c r="B366" s="2" t="str">
        <f>("662671119155")</f>
        <v>662671119155</v>
      </c>
      <c r="C366" s="2" t="s">
        <v>498</v>
      </c>
      <c r="D366" s="2" t="s">
        <v>499</v>
      </c>
      <c r="E366" s="2">
        <v>359.88</v>
      </c>
      <c r="F366" s="3">
        <v>45323</v>
      </c>
      <c r="G366" s="2">
        <v>0.36299999999999999</v>
      </c>
      <c r="H366" s="2" t="str">
        <f>("10662671119152")</f>
        <v>10662671119152</v>
      </c>
      <c r="I366" s="2">
        <v>20</v>
      </c>
      <c r="J366" s="2">
        <v>640</v>
      </c>
    </row>
    <row r="367" spans="1:10">
      <c r="A367" s="2" t="s">
        <v>10</v>
      </c>
      <c r="B367" s="2" t="str">
        <f>("662671110473")</f>
        <v>662671110473</v>
      </c>
      <c r="C367" s="2">
        <v>113645</v>
      </c>
      <c r="D367" s="2" t="s">
        <v>500</v>
      </c>
      <c r="E367" s="2">
        <v>208.71</v>
      </c>
      <c r="F367" s="3">
        <v>45323</v>
      </c>
      <c r="G367" s="2">
        <v>0.29799999999999999</v>
      </c>
      <c r="H367" s="2" t="str">
        <f>("10662671110470")</f>
        <v>10662671110470</v>
      </c>
      <c r="I367" s="2">
        <v>20</v>
      </c>
    </row>
    <row r="368" spans="1:10">
      <c r="A368" s="2" t="s">
        <v>10</v>
      </c>
      <c r="B368" s="2" t="str">
        <f>("662671119018")</f>
        <v>662671119018</v>
      </c>
      <c r="C368" s="2" t="s">
        <v>501</v>
      </c>
      <c r="D368" s="2" t="s">
        <v>502</v>
      </c>
      <c r="E368" s="2">
        <v>421.87</v>
      </c>
      <c r="F368" s="3">
        <v>45323</v>
      </c>
      <c r="G368" s="2">
        <v>0.315</v>
      </c>
      <c r="H368" s="2" t="str">
        <f>("10662671119015")</f>
        <v>10662671119015</v>
      </c>
      <c r="I368" s="2">
        <v>12</v>
      </c>
      <c r="J368" s="2">
        <v>576</v>
      </c>
    </row>
    <row r="369" spans="1:10">
      <c r="A369" s="2" t="s">
        <v>10</v>
      </c>
      <c r="B369" s="2" t="str">
        <f>("662671103352")</f>
        <v>662671103352</v>
      </c>
      <c r="C369" s="2" t="s">
        <v>503</v>
      </c>
      <c r="D369" s="2" t="s">
        <v>504</v>
      </c>
      <c r="E369" s="2">
        <v>1080.8499999999999</v>
      </c>
      <c r="F369" s="3">
        <v>45323</v>
      </c>
      <c r="G369" s="2">
        <v>0.58799999999999997</v>
      </c>
      <c r="H369" s="2" t="str">
        <f>("10662671103359")</f>
        <v>10662671103359</v>
      </c>
      <c r="I369" s="2">
        <v>12</v>
      </c>
      <c r="J369" s="2">
        <v>384</v>
      </c>
    </row>
    <row r="370" spans="1:10">
      <c r="A370" s="2" t="s">
        <v>10</v>
      </c>
      <c r="B370" s="2" t="str">
        <f>("662671118752")</f>
        <v>662671118752</v>
      </c>
      <c r="C370" s="2">
        <v>113660</v>
      </c>
      <c r="D370" s="2" t="s">
        <v>505</v>
      </c>
      <c r="E370" s="2">
        <v>321.44</v>
      </c>
      <c r="F370" s="3">
        <v>45323</v>
      </c>
      <c r="G370" s="2">
        <v>0.14799999999999999</v>
      </c>
      <c r="H370" s="2" t="str">
        <f>("10662671118759")</f>
        <v>10662671118759</v>
      </c>
      <c r="I370" s="2">
        <v>25</v>
      </c>
      <c r="J370" s="2">
        <v>1200</v>
      </c>
    </row>
    <row r="371" spans="1:10">
      <c r="A371" s="2" t="s">
        <v>10</v>
      </c>
      <c r="B371" s="2" t="str">
        <f>("662671118769")</f>
        <v>662671118769</v>
      </c>
      <c r="C371" s="2">
        <v>113661</v>
      </c>
      <c r="D371" s="2" t="s">
        <v>506</v>
      </c>
      <c r="E371" s="2">
        <v>348.39</v>
      </c>
      <c r="F371" s="3">
        <v>45323</v>
      </c>
      <c r="G371" s="2">
        <v>0.159</v>
      </c>
      <c r="H371" s="2" t="str">
        <f>("10662671118766")</f>
        <v>10662671118766</v>
      </c>
      <c r="I371" s="2">
        <v>20</v>
      </c>
      <c r="J371" s="2">
        <v>1440</v>
      </c>
    </row>
    <row r="372" spans="1:10">
      <c r="A372" s="2" t="s">
        <v>10</v>
      </c>
      <c r="B372" s="2" t="str">
        <f>("662671110107")</f>
        <v>662671110107</v>
      </c>
      <c r="C372" s="2">
        <v>113662</v>
      </c>
      <c r="D372" s="2" t="s">
        <v>507</v>
      </c>
      <c r="E372" s="2">
        <v>394.35</v>
      </c>
      <c r="F372" s="3">
        <v>45323</v>
      </c>
      <c r="G372" s="2">
        <v>0.14699999999999999</v>
      </c>
      <c r="H372" s="2" t="str">
        <f>("10662671110104")</f>
        <v>10662671110104</v>
      </c>
      <c r="I372" s="2">
        <v>25</v>
      </c>
      <c r="J372" s="2">
        <v>1200</v>
      </c>
    </row>
    <row r="373" spans="1:10">
      <c r="A373" s="2" t="s">
        <v>10</v>
      </c>
      <c r="B373" s="2" t="str">
        <f>("662671119216")</f>
        <v>662671119216</v>
      </c>
      <c r="C373" s="2">
        <v>113663</v>
      </c>
      <c r="D373" s="2" t="s">
        <v>508</v>
      </c>
      <c r="E373" s="2">
        <v>463.01</v>
      </c>
      <c r="F373" s="3">
        <v>45323</v>
      </c>
      <c r="G373" s="2">
        <v>0.13900000000000001</v>
      </c>
      <c r="H373" s="2" t="str">
        <f>("10662671119213")</f>
        <v>10662671119213</v>
      </c>
      <c r="I373" s="2">
        <v>20</v>
      </c>
      <c r="J373" s="2">
        <v>1440</v>
      </c>
    </row>
    <row r="374" spans="1:10">
      <c r="A374" s="2" t="s">
        <v>10</v>
      </c>
      <c r="B374" s="2" t="str">
        <f>("662671113535")</f>
        <v>662671113535</v>
      </c>
      <c r="C374" s="2" t="s">
        <v>509</v>
      </c>
      <c r="D374" s="2" t="s">
        <v>510</v>
      </c>
      <c r="E374" s="2">
        <v>61.21</v>
      </c>
      <c r="F374" s="3">
        <v>45323</v>
      </c>
      <c r="G374" s="2">
        <v>0.10299999999999999</v>
      </c>
      <c r="H374" s="2" t="str">
        <f>("10662671113532")</f>
        <v>10662671113532</v>
      </c>
      <c r="I374" s="2">
        <v>25</v>
      </c>
      <c r="J374" s="2">
        <v>3600</v>
      </c>
    </row>
    <row r="375" spans="1:10">
      <c r="A375" s="2" t="s">
        <v>10</v>
      </c>
      <c r="B375" s="2" t="str">
        <f>("662671057457")</f>
        <v>662671057457</v>
      </c>
      <c r="C375" s="2" t="s">
        <v>511</v>
      </c>
      <c r="D375" s="2" t="s">
        <v>512</v>
      </c>
      <c r="E375" s="2">
        <v>351.95</v>
      </c>
      <c r="F375" s="3">
        <v>45323</v>
      </c>
      <c r="G375" s="2">
        <v>1.9E-2</v>
      </c>
      <c r="H375" s="2" t="str">
        <f>("10662671057454")</f>
        <v>10662671057454</v>
      </c>
      <c r="I375" s="2">
        <v>70</v>
      </c>
      <c r="J375" s="2">
        <v>10080</v>
      </c>
    </row>
    <row r="376" spans="1:10">
      <c r="A376" s="2" t="s">
        <v>10</v>
      </c>
      <c r="B376" s="2" t="str">
        <f>("662671102966")</f>
        <v>662671102966</v>
      </c>
      <c r="C376" s="2" t="s">
        <v>513</v>
      </c>
      <c r="D376" s="2" t="s">
        <v>514</v>
      </c>
      <c r="E376" s="2">
        <v>282.77</v>
      </c>
      <c r="F376" s="3">
        <v>45323</v>
      </c>
      <c r="G376" s="2">
        <v>0.223</v>
      </c>
      <c r="H376" s="2" t="str">
        <f>("50662671102961")</f>
        <v>50662671102961</v>
      </c>
      <c r="I376" s="2">
        <v>12</v>
      </c>
      <c r="J376" s="2">
        <v>1728</v>
      </c>
    </row>
    <row r="377" spans="1:10">
      <c r="A377" s="2" t="s">
        <v>10</v>
      </c>
      <c r="B377" s="2" t="str">
        <f>("662671102980")</f>
        <v>662671102980</v>
      </c>
      <c r="C377" s="2" t="s">
        <v>515</v>
      </c>
      <c r="D377" s="2" t="s">
        <v>516</v>
      </c>
      <c r="E377" s="2">
        <v>405.24</v>
      </c>
      <c r="F377" s="3">
        <v>45323</v>
      </c>
      <c r="G377" s="2">
        <v>0.28999999999999998</v>
      </c>
      <c r="H377" s="2" t="str">
        <f>("50662671102985")</f>
        <v>50662671102985</v>
      </c>
      <c r="I377" s="2">
        <v>15</v>
      </c>
      <c r="J377" s="2">
        <v>1080</v>
      </c>
    </row>
    <row r="378" spans="1:10">
      <c r="A378" s="2" t="s">
        <v>10</v>
      </c>
      <c r="B378" s="2" t="str">
        <f>("662671103000")</f>
        <v>662671103000</v>
      </c>
      <c r="C378" s="2" t="s">
        <v>517</v>
      </c>
      <c r="D378" s="2" t="s">
        <v>518</v>
      </c>
      <c r="E378" s="2">
        <v>524.64</v>
      </c>
      <c r="F378" s="3">
        <v>45323</v>
      </c>
      <c r="G378" s="2">
        <v>0.62</v>
      </c>
      <c r="H378" s="2" t="str">
        <f>("60662671103002")</f>
        <v>60662671103002</v>
      </c>
      <c r="I378" s="2">
        <v>15</v>
      </c>
      <c r="J378" s="2">
        <v>480</v>
      </c>
    </row>
    <row r="379" spans="1:10">
      <c r="A379" s="2" t="s">
        <v>10</v>
      </c>
      <c r="B379" s="2" t="str">
        <f>("662671103338")</f>
        <v>662671103338</v>
      </c>
      <c r="C379" s="2" t="s">
        <v>519</v>
      </c>
      <c r="D379" s="2" t="s">
        <v>520</v>
      </c>
      <c r="E379" s="2">
        <v>961.84</v>
      </c>
      <c r="F379" s="3">
        <v>45323</v>
      </c>
      <c r="G379" s="2">
        <v>1.6759999999999999</v>
      </c>
      <c r="H379" s="2" t="str">
        <f>("50662671103333")</f>
        <v>50662671103333</v>
      </c>
      <c r="I379" s="2">
        <v>4</v>
      </c>
      <c r="J379" s="2">
        <v>128</v>
      </c>
    </row>
    <row r="380" spans="1:10">
      <c r="A380" s="2" t="s">
        <v>10</v>
      </c>
      <c r="B380" s="2" t="str">
        <f>("662671102973")</f>
        <v>662671102973</v>
      </c>
      <c r="C380" s="2" t="s">
        <v>521</v>
      </c>
      <c r="D380" s="2" t="s">
        <v>522</v>
      </c>
      <c r="E380" s="2">
        <v>271.36</v>
      </c>
      <c r="F380" s="3">
        <v>45323</v>
      </c>
      <c r="G380" s="2">
        <v>0.221</v>
      </c>
      <c r="H380" s="2" t="str">
        <f>("50662671102978")</f>
        <v>50662671102978</v>
      </c>
      <c r="I380" s="2">
        <v>12</v>
      </c>
      <c r="J380" s="2">
        <v>1728</v>
      </c>
    </row>
    <row r="381" spans="1:10">
      <c r="A381" s="2" t="s">
        <v>10</v>
      </c>
      <c r="B381" s="2" t="str">
        <f>("662671102997")</f>
        <v>662671102997</v>
      </c>
      <c r="C381" s="2" t="s">
        <v>523</v>
      </c>
      <c r="D381" s="2" t="s">
        <v>524</v>
      </c>
      <c r="E381" s="2">
        <v>391.73</v>
      </c>
      <c r="F381" s="3">
        <v>45323</v>
      </c>
      <c r="G381" s="2">
        <v>0.27</v>
      </c>
      <c r="H381" s="2" t="str">
        <f>("50662671102992")</f>
        <v>50662671102992</v>
      </c>
      <c r="I381" s="2">
        <v>15</v>
      </c>
      <c r="J381" s="2">
        <v>1080</v>
      </c>
    </row>
    <row r="382" spans="1:10">
      <c r="A382" s="2" t="s">
        <v>10</v>
      </c>
      <c r="B382" s="2" t="str">
        <f>("662671103017")</f>
        <v>662671103017</v>
      </c>
      <c r="C382" s="2" t="s">
        <v>525</v>
      </c>
      <c r="D382" s="2" t="s">
        <v>526</v>
      </c>
      <c r="E382" s="2">
        <v>481.33</v>
      </c>
      <c r="F382" s="3">
        <v>45323</v>
      </c>
      <c r="G382" s="2">
        <v>0.63700000000000001</v>
      </c>
      <c r="H382" s="2" t="str">
        <f>("60662671103019")</f>
        <v>60662671103019</v>
      </c>
      <c r="I382" s="2">
        <v>15</v>
      </c>
      <c r="J382" s="2">
        <v>480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BD79368A-1F30-4BEE-A807-1032355C270E}"/>
</file>

<file path=customXml/itemProps2.xml><?xml version="1.0" encoding="utf-8"?>
<ds:datastoreItem xmlns:ds="http://schemas.openxmlformats.org/officeDocument/2006/customXml" ds:itemID="{DB009D7A-1F32-4AA9-94FB-10C693E2FEC2}"/>
</file>

<file path=customXml/itemProps3.xml><?xml version="1.0" encoding="utf-8"?>
<ds:datastoreItem xmlns:ds="http://schemas.openxmlformats.org/officeDocument/2006/customXml" ds:itemID="{BFF3ECAC-1011-4111-BF7D-47DCC18D9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Lu, Rachel</cp:lastModifiedBy>
  <cp:revision/>
  <dcterms:created xsi:type="dcterms:W3CDTF">2023-11-28T16:28:10Z</dcterms:created>
  <dcterms:modified xsi:type="dcterms:W3CDTF">2024-02-03T19:56:25Z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