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D:\may 2022 pricelists\Final files for web Canplas Plumbing\"/>
    </mc:Choice>
  </mc:AlternateContent>
  <xr:revisionPtr revIDLastSave="0" documentId="13_ncr:1_{CF889B91-8CD6-4638-A74D-77612EEA5D05}" xr6:coauthVersionLast="44" xr6:coauthVersionMax="44" xr10:uidLastSave="{00000000-0000-0000-0000-000000000000}"/>
  <bookViews>
    <workbookView xWindow="768" yWindow="768" windowWidth="22272" windowHeight="10164" xr2:uid="{00000000-000D-0000-FFFF-FFFF00000000}"/>
  </bookViews>
  <sheets>
    <sheet name="C41-FR-062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45" i="2" l="1"/>
  <c r="B145" i="2"/>
  <c r="H144" i="2"/>
  <c r="B144" i="2"/>
  <c r="H143" i="2"/>
  <c r="B143" i="2"/>
  <c r="H142" i="2"/>
  <c r="B142" i="2"/>
  <c r="H141" i="2"/>
  <c r="B141" i="2"/>
  <c r="H140" i="2"/>
  <c r="B140" i="2"/>
  <c r="H139" i="2"/>
  <c r="B139" i="2"/>
  <c r="H138" i="2"/>
  <c r="B138" i="2"/>
  <c r="H137" i="2"/>
  <c r="B137" i="2"/>
  <c r="H136" i="2"/>
  <c r="B136" i="2"/>
  <c r="H135" i="2"/>
  <c r="B135" i="2"/>
  <c r="H134" i="2"/>
  <c r="B134" i="2"/>
  <c r="H133" i="2"/>
  <c r="B133" i="2"/>
  <c r="H132" i="2"/>
  <c r="B132" i="2"/>
  <c r="H131" i="2"/>
  <c r="B131" i="2"/>
  <c r="H130" i="2"/>
  <c r="B130" i="2"/>
  <c r="H129" i="2"/>
  <c r="B129" i="2"/>
  <c r="H128" i="2"/>
  <c r="B128" i="2"/>
  <c r="H127" i="2"/>
  <c r="B127" i="2"/>
  <c r="H126" i="2"/>
  <c r="B126" i="2"/>
  <c r="H125" i="2"/>
  <c r="B125" i="2"/>
  <c r="H124" i="2"/>
  <c r="B124" i="2"/>
  <c r="H123" i="2"/>
  <c r="B123" i="2"/>
  <c r="H122" i="2"/>
  <c r="B122" i="2"/>
  <c r="H121" i="2"/>
  <c r="B121" i="2"/>
  <c r="H120" i="2"/>
  <c r="B120" i="2"/>
  <c r="H119" i="2"/>
  <c r="B119" i="2"/>
  <c r="H118" i="2"/>
  <c r="B118" i="2"/>
  <c r="H117" i="2"/>
  <c r="B117" i="2"/>
  <c r="H116" i="2"/>
  <c r="B116" i="2"/>
  <c r="H115" i="2"/>
  <c r="B115" i="2"/>
  <c r="H114" i="2"/>
  <c r="B114" i="2"/>
  <c r="H113" i="2"/>
  <c r="B113" i="2"/>
  <c r="H112" i="2"/>
  <c r="B112" i="2"/>
  <c r="H111" i="2"/>
  <c r="B111" i="2"/>
  <c r="H110" i="2"/>
  <c r="B110" i="2"/>
  <c r="H109" i="2"/>
  <c r="B109" i="2"/>
  <c r="H108" i="2"/>
  <c r="B108" i="2"/>
  <c r="H107" i="2"/>
  <c r="B107" i="2"/>
  <c r="H106" i="2"/>
  <c r="B106" i="2"/>
  <c r="H105" i="2"/>
  <c r="B105" i="2"/>
  <c r="H104" i="2"/>
  <c r="B104" i="2"/>
  <c r="H103" i="2"/>
  <c r="B103" i="2"/>
  <c r="H102" i="2"/>
  <c r="B102" i="2"/>
  <c r="H101" i="2"/>
  <c r="B101" i="2"/>
  <c r="H100" i="2"/>
  <c r="B100" i="2"/>
  <c r="H99" i="2"/>
  <c r="B99" i="2"/>
  <c r="H98" i="2"/>
  <c r="B98" i="2"/>
  <c r="H97" i="2"/>
  <c r="B97" i="2"/>
  <c r="H96" i="2"/>
  <c r="B96" i="2"/>
  <c r="H95" i="2"/>
  <c r="B95" i="2"/>
  <c r="H94" i="2"/>
  <c r="B94" i="2"/>
  <c r="H93" i="2"/>
  <c r="B93" i="2"/>
  <c r="H92" i="2"/>
  <c r="B92" i="2"/>
  <c r="H91" i="2"/>
  <c r="B91" i="2"/>
  <c r="H90" i="2"/>
  <c r="B90" i="2"/>
  <c r="H89" i="2"/>
  <c r="B89" i="2"/>
  <c r="H88" i="2"/>
  <c r="B88" i="2"/>
  <c r="H87" i="2"/>
  <c r="B87" i="2"/>
  <c r="H86" i="2"/>
  <c r="B86" i="2"/>
  <c r="H85" i="2"/>
  <c r="B85" i="2"/>
  <c r="H84" i="2"/>
  <c r="B84" i="2"/>
  <c r="H83" i="2"/>
  <c r="B83" i="2"/>
  <c r="H82" i="2"/>
  <c r="B82" i="2"/>
  <c r="H81" i="2"/>
  <c r="B81" i="2"/>
  <c r="H80" i="2"/>
  <c r="B80" i="2"/>
  <c r="H79" i="2"/>
  <c r="B79" i="2"/>
  <c r="H78" i="2"/>
  <c r="B78" i="2"/>
  <c r="H77" i="2"/>
  <c r="B77" i="2"/>
  <c r="H76" i="2"/>
  <c r="B76" i="2"/>
  <c r="H75" i="2"/>
  <c r="B75" i="2"/>
  <c r="H74" i="2"/>
  <c r="B74" i="2"/>
  <c r="H73" i="2"/>
  <c r="B73" i="2"/>
  <c r="H72" i="2"/>
  <c r="B72" i="2"/>
  <c r="H71" i="2"/>
  <c r="B71" i="2"/>
  <c r="H70" i="2"/>
  <c r="B70" i="2"/>
  <c r="H69" i="2"/>
  <c r="B69" i="2"/>
  <c r="H68" i="2"/>
  <c r="B68" i="2"/>
  <c r="H67" i="2"/>
  <c r="B67" i="2"/>
  <c r="H66" i="2"/>
  <c r="B66" i="2"/>
  <c r="H65" i="2"/>
  <c r="B65" i="2"/>
  <c r="H64" i="2"/>
  <c r="B64" i="2"/>
  <c r="H63" i="2"/>
  <c r="B63" i="2"/>
  <c r="H62" i="2"/>
  <c r="B62" i="2"/>
  <c r="H61" i="2"/>
  <c r="B61" i="2"/>
  <c r="H60" i="2"/>
  <c r="B60" i="2"/>
  <c r="H59" i="2"/>
  <c r="B59" i="2"/>
  <c r="H58" i="2"/>
  <c r="B58" i="2"/>
  <c r="H57" i="2"/>
  <c r="B57" i="2"/>
  <c r="H56" i="2"/>
  <c r="B56" i="2"/>
  <c r="H55" i="2"/>
  <c r="B55" i="2"/>
  <c r="H54" i="2"/>
  <c r="B54" i="2"/>
  <c r="H53" i="2"/>
  <c r="B53" i="2"/>
  <c r="H52" i="2"/>
  <c r="B52" i="2"/>
  <c r="H51" i="2"/>
  <c r="B51" i="2"/>
  <c r="H50" i="2"/>
  <c r="B50" i="2"/>
  <c r="H49" i="2"/>
  <c r="B49" i="2"/>
  <c r="H48" i="2"/>
  <c r="B48" i="2"/>
  <c r="H47" i="2"/>
  <c r="B47" i="2"/>
  <c r="H46" i="2"/>
  <c r="B46" i="2"/>
  <c r="H45" i="2"/>
  <c r="B45" i="2"/>
  <c r="H44" i="2"/>
  <c r="B44" i="2"/>
  <c r="H43" i="2"/>
  <c r="B43" i="2"/>
  <c r="H42" i="2"/>
  <c r="B42" i="2"/>
  <c r="H41" i="2"/>
  <c r="B41" i="2"/>
  <c r="H40" i="2"/>
  <c r="B40" i="2"/>
  <c r="H39" i="2"/>
  <c r="B39" i="2"/>
  <c r="H38" i="2"/>
  <c r="B38" i="2"/>
  <c r="H37" i="2"/>
  <c r="B37" i="2"/>
  <c r="H36" i="2"/>
  <c r="B36" i="2"/>
  <c r="H35" i="2"/>
  <c r="B35" i="2"/>
  <c r="H34" i="2"/>
  <c r="B34" i="2"/>
  <c r="H33" i="2"/>
  <c r="B33" i="2"/>
  <c r="H32" i="2"/>
  <c r="B32" i="2"/>
  <c r="H31" i="2"/>
  <c r="B31" i="2"/>
  <c r="H30" i="2"/>
  <c r="B30" i="2"/>
  <c r="H29" i="2"/>
  <c r="B29" i="2"/>
  <c r="H28" i="2"/>
  <c r="B28" i="2"/>
  <c r="H27" i="2"/>
  <c r="B27" i="2"/>
  <c r="H26" i="2"/>
  <c r="B26" i="2"/>
  <c r="H25" i="2"/>
  <c r="B25" i="2"/>
  <c r="H24" i="2"/>
  <c r="B24" i="2"/>
  <c r="H23" i="2"/>
  <c r="B23" i="2"/>
  <c r="H22" i="2"/>
  <c r="B22" i="2"/>
  <c r="H21" i="2"/>
  <c r="B21" i="2"/>
  <c r="H20" i="2"/>
  <c r="B20" i="2"/>
  <c r="H19" i="2"/>
  <c r="B19" i="2"/>
  <c r="H18" i="2"/>
  <c r="B18" i="2"/>
  <c r="H17" i="2"/>
  <c r="B17" i="2"/>
  <c r="H16" i="2"/>
  <c r="B16" i="2"/>
  <c r="H15" i="2"/>
  <c r="B15" i="2"/>
  <c r="H14" i="2"/>
  <c r="B14" i="2"/>
  <c r="H13" i="2"/>
  <c r="B13" i="2"/>
  <c r="H12" i="2"/>
  <c r="B12" i="2"/>
  <c r="H11" i="2"/>
  <c r="B11" i="2"/>
  <c r="H10" i="2"/>
  <c r="B10" i="2"/>
  <c r="H9" i="2"/>
  <c r="B9" i="2"/>
  <c r="H8" i="2"/>
  <c r="B8" i="2"/>
  <c r="H7" i="2"/>
  <c r="B7" i="2"/>
  <c r="H6" i="2"/>
  <c r="B6" i="2"/>
  <c r="H5" i="2"/>
  <c r="B5" i="2"/>
  <c r="H4" i="2"/>
  <c r="B4" i="2"/>
  <c r="H3" i="2"/>
  <c r="B3" i="2"/>
  <c r="H2" i="2"/>
  <c r="B2" i="2"/>
</calcChain>
</file>

<file path=xl/sharedStrings.xml><?xml version="1.0" encoding="utf-8"?>
<sst xmlns="http://schemas.openxmlformats.org/spreadsheetml/2006/main" count="442" uniqueCount="299">
  <si>
    <t>412841BC</t>
  </si>
  <si>
    <t>412841BC PVC SEW 3" MANCON D'ADPT DWV A EGOUT MXF BLANC</t>
  </si>
  <si>
    <t>412842BC</t>
  </si>
  <si>
    <t>412842BC PVC SEW 4" MANCON D'ADPT DWV A EGOUT MXF BLANC</t>
  </si>
  <si>
    <t>412846BC</t>
  </si>
  <si>
    <t>412846BC PVC SEW 6" MANCON D'ADPT DWV A EGOUT MXF BLANC</t>
  </si>
  <si>
    <t>414103BC</t>
  </si>
  <si>
    <t>414103BC PVC SEW 3" TE FXFXF BLANCCANPLAS</t>
  </si>
  <si>
    <t>414104BC</t>
  </si>
  <si>
    <t>414104BC PVC SEW 4" TE FXFXF BLANCCANPLAS</t>
  </si>
  <si>
    <t>414105BC</t>
  </si>
  <si>
    <t>414105BC PVC SEW 4" TE FXFXFPT BLANC CANPLAS</t>
  </si>
  <si>
    <t>414106BC</t>
  </si>
  <si>
    <t>414106BC PVC SEW 6" TE FXFXF BLANCCANPLAS</t>
  </si>
  <si>
    <t>414107BC</t>
  </si>
  <si>
    <t>414107BC PVC SEW 4X4X3" TE FXFXF BLANC CANPLAS</t>
  </si>
  <si>
    <t>414108BC</t>
  </si>
  <si>
    <t>414108BC PVC SEW 6X6X4" TE FXFXF BLANC CANPLAS</t>
  </si>
  <si>
    <t>414109BC</t>
  </si>
  <si>
    <t>414109BC PVC SEW 8" TE FXFXF BLANCCANPLAS</t>
  </si>
  <si>
    <t>414110BC</t>
  </si>
  <si>
    <t>414110BC PVC SEW 8X8X4" TE FXFXF BLANC CANPLAS</t>
  </si>
  <si>
    <t>414111BC</t>
  </si>
  <si>
    <t>414111BC PVC SEW 8X8X6" TE FXFXF BLANC CANPLAS</t>
  </si>
  <si>
    <t>414114BC</t>
  </si>
  <si>
    <t>414114BC PVC SEW 4" TE RACCORD MXFXF BLANC CANPLAS</t>
  </si>
  <si>
    <t>414120BC</t>
  </si>
  <si>
    <t>414120BC PVC SEW 4" T SAN MXFXF BLANC CANPLAS</t>
  </si>
  <si>
    <t>414123BC</t>
  </si>
  <si>
    <t>414123BC PVC SEW 3" T SAN FXFXF BLANC CANPLAS</t>
  </si>
  <si>
    <t>414124BC</t>
  </si>
  <si>
    <t>414124BC PVC SEW 4" T SAN FXFXF BLANC CANPLAS</t>
  </si>
  <si>
    <t>414125BC</t>
  </si>
  <si>
    <t>414125BC PVC SEW 6X6X4" T SAN FXFXF BLANC CANPLAS</t>
  </si>
  <si>
    <t>414126BC</t>
  </si>
  <si>
    <t>414126BC PVC SEW 6" T SAN FXFXF BLANC CANPLAS</t>
  </si>
  <si>
    <t>414127BC</t>
  </si>
  <si>
    <t>414127BC PVC SEW 8" T SAN FXFXF BLANC CANPLAS</t>
  </si>
  <si>
    <t>414128BC</t>
  </si>
  <si>
    <t>414128BC PVC SEW 8X8X4" T SAN FXFXF BLANC CANPLAS</t>
  </si>
  <si>
    <t>414130BC</t>
  </si>
  <si>
    <t>414130BC PVC SEW 6X4" DOUBLE Y FXFXFXF BLANC CANPLAS</t>
  </si>
  <si>
    <t>414131BC</t>
  </si>
  <si>
    <t>414131BC PVC SEW 3X3X2" RACC Y FXFXF BLANC CANPLAS</t>
  </si>
  <si>
    <t>414132BC</t>
  </si>
  <si>
    <t>414132BC PVC SEW 4X4X3" RACC Y FXFXF BLANC CANPLAS</t>
  </si>
  <si>
    <t>414133BC</t>
  </si>
  <si>
    <t>414133BC PVC SEW 3" RACC Y FXFXF BLANC CANPLAS</t>
  </si>
  <si>
    <t>414134BC</t>
  </si>
  <si>
    <t>414134BC PVC SEW 4" 45D RACC Y FXFXF BLANC CANPLAS</t>
  </si>
  <si>
    <t>414135BC</t>
  </si>
  <si>
    <t>414135BC PVC SEW 6X6X4" RACC Y FXFXF BLANC CANPLAS</t>
  </si>
  <si>
    <t>414136BC</t>
  </si>
  <si>
    <t>414136BC PVC SEW 6" RACC Y FXFXF BLANC CANPLAS</t>
  </si>
  <si>
    <t>414137BC</t>
  </si>
  <si>
    <t>414137BC PVC SEW 8" RACC Y FXFXF BLANC CANPLAS</t>
  </si>
  <si>
    <t>414138BC</t>
  </si>
  <si>
    <t>414138BC PVC SEW 8X8X4" RACC Y FXFXF BLANC CANPLAS</t>
  </si>
  <si>
    <t>414139BC</t>
  </si>
  <si>
    <t>414139BC PVC SEW 8X8X6" RACC Y FXFXF BLANC CANPLAS</t>
  </si>
  <si>
    <t>414144BC</t>
  </si>
  <si>
    <t>414144BC PVC SEW 4" RACC Y SPGXHXHXH BLANC CANPLAS</t>
  </si>
  <si>
    <t>414150BC</t>
  </si>
  <si>
    <t>414150BC PVC SEW 4" TE DE NETT DBLFXFXF BLANC CANPLAS</t>
  </si>
  <si>
    <t>414152BC</t>
  </si>
  <si>
    <t>414152BC PVC SEW 4" 90D COUDE RACCMXF BLANC CANPLAS</t>
  </si>
  <si>
    <t>414153BC</t>
  </si>
  <si>
    <t>414153BC PVC SEW 3" 90D COUDE FXF BLANC CANPLAS</t>
  </si>
  <si>
    <t>414154BC</t>
  </si>
  <si>
    <t>414154BC PVC SEW 4" 90D COUDE FXF BLANC CANPLAS</t>
  </si>
  <si>
    <t>414155BC</t>
  </si>
  <si>
    <t>414155BC PVC SEW 4" TE DE NETT DBLFXFXF BLANC CANPLAS</t>
  </si>
  <si>
    <t>414156BC</t>
  </si>
  <si>
    <t>414156BC PVC SEW 6" 90D COUDE FXF BLANC CANPLAS</t>
  </si>
  <si>
    <t>414157BC</t>
  </si>
  <si>
    <t>414157BC PVC SEW 6" 90D COUDE RACCMXF BLANC CANPLAS</t>
  </si>
  <si>
    <t>414158BC</t>
  </si>
  <si>
    <t>414158BC PVC SEW 8" 90D COUDE FXF BLANC CANPLAS</t>
  </si>
  <si>
    <t>414159BC</t>
  </si>
  <si>
    <t>414159BC PVC SEW 8" 90D COUDE RACCMXF BLANC CANPLAS</t>
  </si>
  <si>
    <t>414163BC</t>
  </si>
  <si>
    <t>414163BC PVC SEW 3" 90D COUDE GRAND RAYON FXF BLANC</t>
  </si>
  <si>
    <t>414164BC</t>
  </si>
  <si>
    <t>414164BC PVC SEW 4" 90D COUDE GRAND RAYON FXF BLANC</t>
  </si>
  <si>
    <t>414166BC</t>
  </si>
  <si>
    <t>414166BC PVC SEW 6" 90D COUDE GRAND RAYON FXF BLANC</t>
  </si>
  <si>
    <t>414168BC</t>
  </si>
  <si>
    <t>414168BC PVC SEW 8" 90D COUDE GRAND RAYON FXF BLANC</t>
  </si>
  <si>
    <t>414173BC</t>
  </si>
  <si>
    <t>414173BC PVC SEW 3" 90D COUDE RACCGRAND RAYON MXF BLANC</t>
  </si>
  <si>
    <t>414174BC</t>
  </si>
  <si>
    <t>414174BC PVC SEW 4" 90D COUDE RACCGRAND RAYON MXF BLANC</t>
  </si>
  <si>
    <t>414182BC</t>
  </si>
  <si>
    <t>414182BC PVC SEW 2" 45D COUDE FXF BLANC CANPLAS</t>
  </si>
  <si>
    <t>414183BC</t>
  </si>
  <si>
    <t>414183BC PVC SEW 3" 45D COUDE FXF BLANC CANPLAS</t>
  </si>
  <si>
    <t>414184BC</t>
  </si>
  <si>
    <t>414184BC PVC SEW 4" 45D COUDE FXF BLANC CANPLAS</t>
  </si>
  <si>
    <t>414186BC</t>
  </si>
  <si>
    <t>414186BC PVC SEW 6" 45D COUDE FXF BLANC CANPLAS</t>
  </si>
  <si>
    <t>414188BC</t>
  </si>
  <si>
    <t>414188BC PVC SEW 8" 45D COUDE FXF BLANC CANPLAS</t>
  </si>
  <si>
    <t>414193BC</t>
  </si>
  <si>
    <t>414193BC PVC SEW 3" 45D COUDE MXF BLANC CANPLAS</t>
  </si>
  <si>
    <t>414194BC</t>
  </si>
  <si>
    <t>414194BC PVC SEW 4" 45D COUDE MXF BLANC CANPLAS</t>
  </si>
  <si>
    <t>414196BC</t>
  </si>
  <si>
    <t>414196BC PVC SEW 6" 45D COUDE MXF BLANC CANPLAS</t>
  </si>
  <si>
    <t>414198BC</t>
  </si>
  <si>
    <t>414198BC PVC SEW 8" 45D COUDE MXF BLANC CANPLAS</t>
  </si>
  <si>
    <t>414202BC</t>
  </si>
  <si>
    <t>414202BC PVC SEW 3X2 DWV COUPLING</t>
  </si>
  <si>
    <t>414203BC</t>
  </si>
  <si>
    <t>414203BC PVC SEW 3" 22.5D COUDE FXF BLANC CANPLAS</t>
  </si>
  <si>
    <t>414204BC</t>
  </si>
  <si>
    <t>414204BC PVC SEW 4" 22.5D COUDE FXF BLANC CANPLAS</t>
  </si>
  <si>
    <t>414206BC</t>
  </si>
  <si>
    <t>414206BC PVC SEW 6" 22.5D COUDE FXF BLANC CANPLAS</t>
  </si>
  <si>
    <t>414208BC</t>
  </si>
  <si>
    <t>414208BC PVC SEW 8" 22.5D COUDE FXF BLANC CANPLAS</t>
  </si>
  <si>
    <t>414209BC</t>
  </si>
  <si>
    <t>414209BC PVC SEW 8X4" MANCHON AUGMENTATION AVEC ARRETE</t>
  </si>
  <si>
    <t>414210BC</t>
  </si>
  <si>
    <t>414210BC PVC SEW 4" MANCHON EGOUT A DWV FXF BLANC CANPLAS</t>
  </si>
  <si>
    <t>414211BC</t>
  </si>
  <si>
    <t>414211BC PVC SEW 8X6" MANCHON RED FXF BLANC CANPLAS</t>
  </si>
  <si>
    <t>414212BC</t>
  </si>
  <si>
    <t>414212BC PVC SEW 3X2" MANCHON AUGMENTATION AVEC ARRETE</t>
  </si>
  <si>
    <t>414213BC</t>
  </si>
  <si>
    <t>414213BC PVC SEW 3" MANCHON FXF BLANC CANPLAS</t>
  </si>
  <si>
    <t>414214BC</t>
  </si>
  <si>
    <t>414214BC PVC SEW 4" MANCHON FXF BLANC CANPLAS</t>
  </si>
  <si>
    <t>414215BC</t>
  </si>
  <si>
    <t>414215BC PVC SEW 8" MANCHON FXF BLANC CANPLAS</t>
  </si>
  <si>
    <t>414216BC</t>
  </si>
  <si>
    <t>414216BC PVC SEW 6" MANCHON FXF BLANC CANPLAS</t>
  </si>
  <si>
    <t>414217BC</t>
  </si>
  <si>
    <t>414217BC PVC SEW 4X3" MANCHON AUGMENTATION AVEC ARRETE</t>
  </si>
  <si>
    <t>414218BC</t>
  </si>
  <si>
    <t>414218BC PVC SEW 4X3" MANCHON EGOUT A DWV FXF BLANC</t>
  </si>
  <si>
    <t>414219BC</t>
  </si>
  <si>
    <t>414219BC PVC SEW 6X4" MANCHON AUGMENTATION AVEC ARRETE</t>
  </si>
  <si>
    <t>414220BC</t>
  </si>
  <si>
    <t>414220BC PVC SEW 3X2" DOUILLE RED MXF BLANC CANPLAS</t>
  </si>
  <si>
    <t>414221BC</t>
  </si>
  <si>
    <t>414221BC PVC SEW 4X1 1/2" DOUILLE DE RACCORDEMENT EGOUT A</t>
  </si>
  <si>
    <t>414222BC</t>
  </si>
  <si>
    <t>414222BC PVC SEW 4X2" DOUILLE DE RACCORDEMENT EGOUT A DWV</t>
  </si>
  <si>
    <t>414223BC</t>
  </si>
  <si>
    <t>414223BC PVC SEW 4X3" DOUILLE RED MXF BLANC CANPLAS</t>
  </si>
  <si>
    <t>414224BC</t>
  </si>
  <si>
    <t>414224BC PVC SEW 4X3" DOUILLE DE RACCORDEMENT EGOUT A DWV</t>
  </si>
  <si>
    <t>414225BC</t>
  </si>
  <si>
    <t>414225BC PVC SEW 3X1 1/2" DOUILLE DE RACCORDEMENT EGOUT A</t>
  </si>
  <si>
    <t>414226BC</t>
  </si>
  <si>
    <t>414226BC PVC SEW 6X4" DOUILLE EXT RED MXF BLANC CANPLAS</t>
  </si>
  <si>
    <t>414227BC</t>
  </si>
  <si>
    <t>414227BC PVC SEW 6X4" ADPT EGOUT ADWV FXF BLANC CANPLAS</t>
  </si>
  <si>
    <t>414228BC</t>
  </si>
  <si>
    <t>414228BC PVC SEW 6" ADPT EGOUT A DWV FXF BLANC CANPLAS</t>
  </si>
  <si>
    <t>414229BC</t>
  </si>
  <si>
    <t>414229BC PVC SEW 3X2" DOUILLE DE RACCORDEMENT EGOUT A DWV</t>
  </si>
  <si>
    <t>414230BC</t>
  </si>
  <si>
    <t>414230BC PVC SEW 4" DOUILLE DE RACCORDEMENT EGOUT A DWV</t>
  </si>
  <si>
    <t>414231BC</t>
  </si>
  <si>
    <t>414231BC PVC SEW 6X4" DOUILLE DE RACCORDEMENT EGOUT A DWV</t>
  </si>
  <si>
    <t>414232BC</t>
  </si>
  <si>
    <t>414232BC PVC SEW 6" DOUILLE DE RACCORDEMENT EGOUT A DWV</t>
  </si>
  <si>
    <t>414233BC</t>
  </si>
  <si>
    <t>414233BC PVC SEW 3" ADPT FEM FPTXMBLANC CANPLAS</t>
  </si>
  <si>
    <t>414234BC</t>
  </si>
  <si>
    <t>414234BC PVC SEW 4" ADPT FEM FPTXMBLANC CANPLAS</t>
  </si>
  <si>
    <t>414236BC</t>
  </si>
  <si>
    <t>414236BC PVC SEW 6" ADPT FEM FPTXMBLANC CANPLAS</t>
  </si>
  <si>
    <t>414238BC</t>
  </si>
  <si>
    <t>414238BC PVC SEW 8" ADPT FEM FPTXMBLANC CANPLAS</t>
  </si>
  <si>
    <t>414240BC</t>
  </si>
  <si>
    <t>414240BC PVC SEW 4" BOUCH FRAISE MPT BLANC CANPLAS</t>
  </si>
  <si>
    <t>414243BC</t>
  </si>
  <si>
    <t>414243BC PVC SEW 3" BOUCHON MPT BLANC CANPLAS</t>
  </si>
  <si>
    <t>414244BC</t>
  </si>
  <si>
    <t>414244BC PVC SEW 4" BOUCHON MPT BLANC CANPLAS</t>
  </si>
  <si>
    <t>414246BC</t>
  </si>
  <si>
    <t>414246BC PVC 4" ADPT FONTE SDR35 BDS FXF BLANC CANPLAS</t>
  </si>
  <si>
    <t>414252BC</t>
  </si>
  <si>
    <t>414252BC PVC SEW 4" BRIDE DE SOL 1PC F BLANC CANPLAS</t>
  </si>
  <si>
    <t>414253BC</t>
  </si>
  <si>
    <t>414253BC PVC SEW 3" GR DE VIDANGE M BLANC CANPLAS</t>
  </si>
  <si>
    <t>414254BC</t>
  </si>
  <si>
    <t>414254BC PVC SEW 4" GR DE VIDANGE M BLANC CANPLAS</t>
  </si>
  <si>
    <t>414256BC</t>
  </si>
  <si>
    <t>414256BC PVC SEW 6" GR DE VIDANGE M BLANC CANPLAS</t>
  </si>
  <si>
    <t>414258BC</t>
  </si>
  <si>
    <t>414258BC PVC SEW 8" DRAIN GRATE</t>
  </si>
  <si>
    <t>414260BC</t>
  </si>
  <si>
    <t>414260BC PVC SEW 3" SIPHON P JT SOUDE PAR SOLVENT FXF</t>
  </si>
  <si>
    <t>414263BC</t>
  </si>
  <si>
    <t>414263BC PVC SEW 3" BOUCH FEM F BLANC CANPLAS</t>
  </si>
  <si>
    <t>414264BC</t>
  </si>
  <si>
    <t>414264BC PVC SEW 4" BOUCH FEM F BLANC CANPLAS</t>
  </si>
  <si>
    <t>414266BC</t>
  </si>
  <si>
    <t>414266BC PVC SEW 6" BOUCH FEM F BLANC CANPLAS</t>
  </si>
  <si>
    <t>414268BC</t>
  </si>
  <si>
    <t>414268BC PVC SEW 8" BOUCH FEM F BLANC CANPLAS</t>
  </si>
  <si>
    <t>414270BC</t>
  </si>
  <si>
    <t>414270BC PVC SEW 4" SIPHON P JT SOUDE PAR SOLVENT FXF</t>
  </si>
  <si>
    <t>414273BC</t>
  </si>
  <si>
    <t>414273BC PVC SEW 3" ADPT FEM AVEC NETT BOUCHON MXFPT BLANC</t>
  </si>
  <si>
    <t>414274BC</t>
  </si>
  <si>
    <t>414274BC PVC SEW 4" ADPT FEM AVEC NETT BOUCHON MXFPT BLANC</t>
  </si>
  <si>
    <t>414276BC</t>
  </si>
  <si>
    <t>414276BC PVC SEW 6" ADPT FEM AVEC NETT BOUCHON MXFPT BLANC</t>
  </si>
  <si>
    <t>414286BC</t>
  </si>
  <si>
    <t>414286BC PVC SEW 6" BOUCHON MPT BLANC CANPLAS</t>
  </si>
  <si>
    <t>414288BC</t>
  </si>
  <si>
    <t>414288BC PVC SEW 8" BOUCHON MPT BLANC CANPLAS</t>
  </si>
  <si>
    <t>414293BC</t>
  </si>
  <si>
    <t>414293BC PVC SEW 3" 22.5D COUDE RACC MXF BLANC CANPLAS</t>
  </si>
  <si>
    <t>414294BC</t>
  </si>
  <si>
    <t>414294BC PVC SEW 4" 22.5D COUDE RACC MXF BLANC CANPLAS</t>
  </si>
  <si>
    <t>414296BC</t>
  </si>
  <si>
    <t>414296BC PVC SEW 6" 22.5D COUDE RACC MXF BLANC CANPLAS</t>
  </si>
  <si>
    <t>414298BC</t>
  </si>
  <si>
    <t>414298BC PVC SEW 8 22-1/2DEG ELL SPG</t>
  </si>
  <si>
    <t>414302BC</t>
  </si>
  <si>
    <t>414302BC PVC SEW 8X4" DOUILLE EXT RED MXF BLANC CANPLAS</t>
  </si>
  <si>
    <t>414303BC</t>
  </si>
  <si>
    <t>414303BC PVC SEW 8X6" DOUILLE EXT RED MXF BLANC CANPLAS</t>
  </si>
  <si>
    <t>414314BC</t>
  </si>
  <si>
    <t>414314BC PVC SEW 4" RACC DE REPARATION FXF BLANC</t>
  </si>
  <si>
    <t>414316BC</t>
  </si>
  <si>
    <t>414316BC PVC SEW 6" RACC DE REPARATION FXF BLANC</t>
  </si>
  <si>
    <t>414333BC</t>
  </si>
  <si>
    <t>414333BC PVC SEW 3" ADPT FEM FPTXFBLANC CANPLAS</t>
  </si>
  <si>
    <t>414334BC</t>
  </si>
  <si>
    <t>414334BC PVC SEW 4" ADPT FEM FPTXFBLANC CANPLAS</t>
  </si>
  <si>
    <t>414336BC</t>
  </si>
  <si>
    <t>414336BC PVC SEW 6" ADPT FEM FPTXFBLANC CANPLAS</t>
  </si>
  <si>
    <t>414338BC</t>
  </si>
  <si>
    <t>414338BC PVC SEW 8" ADPT FEM FPTXFBLANC CANPLAS</t>
  </si>
  <si>
    <t>414343BC</t>
  </si>
  <si>
    <t>414343BC PVC SEW 3" ADPT MALE FPTXF BLANC CANPLAS</t>
  </si>
  <si>
    <t>414344BC</t>
  </si>
  <si>
    <t>414344BC PVC SEW 4" ADPT MALE MPTXF BLANC CANPLAS</t>
  </si>
  <si>
    <t>414431BC</t>
  </si>
  <si>
    <t>414431BC PVC SEW 2X3X3" ADPT DE GOUTTIERE FXF BLANC</t>
  </si>
  <si>
    <t>414432BC</t>
  </si>
  <si>
    <t>414432BC PVC SEW 2X3X4" ADPT DE GOUTTIERE FXF BLANC</t>
  </si>
  <si>
    <t>414433BC</t>
  </si>
  <si>
    <t>414433BC PVC SEW 3X4X3" ADPT DE GOUTTIERE FXF BLANC</t>
  </si>
  <si>
    <t>414434BC</t>
  </si>
  <si>
    <t>414434BC PVC SEW 3X4X4" ADPT DE GOUTTIERE FXF BLANC</t>
  </si>
  <si>
    <t>414444BC</t>
  </si>
  <si>
    <t>414444BC PVC SEW 4" ADPT DE TUYAU ONDULE FXF BLANC CANPLAS</t>
  </si>
  <si>
    <t>414450BC</t>
  </si>
  <si>
    <t>414450BC PVC SEW 4" CROIX FXFXFXF BLANC CANPLAS</t>
  </si>
  <si>
    <t>414461BC</t>
  </si>
  <si>
    <t>414461BC PVC SEW 2X3X3" ADPT DE GOUTTIERE ENCASTRE FXF</t>
  </si>
  <si>
    <t>414462BC</t>
  </si>
  <si>
    <t>414462BC PVC SEW 2X3X4" ADPT DE GOUTTIERE ENCASTRE FXF</t>
  </si>
  <si>
    <t>414463BC</t>
  </si>
  <si>
    <t>414463BC PVC SEW 3X4X4" ADPT DE GOUTTIERE ENCASTRE FXF</t>
  </si>
  <si>
    <t>414464BC</t>
  </si>
  <si>
    <t>414464BC PVC SEW 4X6X6" ADPT DE GOUTTIERE ENCASTRE FXF</t>
  </si>
  <si>
    <t>414471BC</t>
  </si>
  <si>
    <t>414471BC PVC SEW 2X3X4" ADPT DE TUYAU ONDULE ENCASTRE FXF</t>
  </si>
  <si>
    <t>414473BC</t>
  </si>
  <si>
    <t>414473BC PVC SEW 3X4X4" ADPT DE TUYAU ONDULE ENCASTRE FXF</t>
  </si>
  <si>
    <t>414474BC</t>
  </si>
  <si>
    <t>414474BC PVC SEW 4X6X6" ADPT DE TUYAU ONDULE ENCASTRE FXF</t>
  </si>
  <si>
    <t>414494BC</t>
  </si>
  <si>
    <t>414494BC PVC SEW 4X2X3" DOUILLE EXT RED FXF BLANC CANPLAS</t>
  </si>
  <si>
    <t>414746BC</t>
  </si>
  <si>
    <t>414746BC PVC SEW 4 ON 6" SELLE T FBLANC CANPLAS</t>
  </si>
  <si>
    <t>414748BC</t>
  </si>
  <si>
    <t>414748BC PVC SEW 4 ON 8" SELLE T FBLANC CANPLAS</t>
  </si>
  <si>
    <t>414768BC</t>
  </si>
  <si>
    <t>414768BC PVC SEW 6 ON 8" SELLE T FBLANC CANPLAS</t>
  </si>
  <si>
    <t>414846BC</t>
  </si>
  <si>
    <t>414846BC PVC SEW 4 ON 6" SELLE Y FBLANC CANPLAS</t>
  </si>
  <si>
    <t>414848BC</t>
  </si>
  <si>
    <t>414848BC PVC SEW 4 ON 8" SELLE Y FBLANC CANPLAS</t>
  </si>
  <si>
    <t>414868BC</t>
  </si>
  <si>
    <t>414868BC PVC SEW 6 ON 8" SELLE Y FBLANC CANPLAS</t>
  </si>
  <si>
    <t>414906BC</t>
  </si>
  <si>
    <t>414906BC AI 6" SERRE ACIER INOX CANPLAS</t>
  </si>
  <si>
    <t>414908BC</t>
  </si>
  <si>
    <t>414908BC AI 8" SERRE ACIER INOX CANPLAS</t>
  </si>
  <si>
    <t>Nom de Liste</t>
  </si>
  <si>
    <t>Code UPC</t>
  </si>
  <si>
    <t>Numéro de Produit</t>
  </si>
  <si>
    <t>Description de Produit</t>
  </si>
  <si>
    <t>Prix de Liste</t>
  </si>
  <si>
    <t>Date Effective</t>
  </si>
  <si>
    <t>Poids en Kgs</t>
  </si>
  <si>
    <t>Code-Barre de Carton</t>
  </si>
  <si>
    <t>Qtée de Carton</t>
  </si>
  <si>
    <t>Qtée de Palette</t>
  </si>
  <si>
    <t>C41-FR-0622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</si>
</sst>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5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5"/>
  <sheetViews>
    <sheetView tabSelected="1" workbookViewId="0">
      <selection activeCell="H1" sqref="H1:H1048576"/>
    </sheetView>
  </sheetViews>
  <sheetFormatPr defaultRowHeight="14.4" x14ac:dyDescent="0.3"/>
  <cols>
    <col min="1" max="1" width="12.5546875" bestFit="1" customWidth="1"/>
    <col min="2" max="2" width="13.109375" bestFit="1" customWidth="1"/>
    <col min="3" max="3" width="18.33203125" bestFit="1" customWidth="1"/>
    <col min="4" max="4" width="63.33203125" bestFit="1" customWidth="1"/>
    <col min="5" max="5" width="11.6640625" bestFit="1" customWidth="1"/>
    <col min="6" max="6" width="13.5546875" bestFit="1" customWidth="1"/>
    <col min="7" max="7" width="13.44140625" bestFit="1" customWidth="1"/>
    <col min="8" max="8" width="20.33203125" bestFit="1" customWidth="1"/>
    <col min="9" max="9" width="14.5546875" bestFit="1" customWidth="1"/>
    <col min="10" max="10" width="15.109375" bestFit="1" customWidth="1"/>
  </cols>
  <sheetData>
    <row r="1" spans="1:10" x14ac:dyDescent="0.3">
      <c r="A1" t="s">
        <v>288</v>
      </c>
      <c r="B1" t="s">
        <v>289</v>
      </c>
      <c r="C1" t="s">
        <v>290</v>
      </c>
      <c r="D1" t="s">
        <v>291</v>
      </c>
      <c r="E1" t="s">
        <v>292</v>
      </c>
      <c r="F1" t="s">
        <v>293</v>
      </c>
      <c r="G1" t="s">
        <v>294</v>
      </c>
      <c r="H1" t="s">
        <v>295</v>
      </c>
      <c r="I1" t="s">
        <v>296</v>
      </c>
      <c r="J1" t="s">
        <v>297</v>
      </c>
    </row>
    <row r="2" spans="1:10" x14ac:dyDescent="0.3">
      <c r="A2" t="s">
        <v>298</v>
      </c>
      <c r="B2" t="str">
        <f>("662671410016")</f>
        <v>662671410016</v>
      </c>
      <c r="C2" t="s">
        <v>0</v>
      </c>
      <c r="D2" t="s">
        <v>1</v>
      </c>
      <c r="E2">
        <v>6.96</v>
      </c>
      <c r="F2" s="1">
        <v>44713</v>
      </c>
      <c r="G2">
        <v>5.3999999999999999E-2</v>
      </c>
      <c r="H2" t="str">
        <f>("20662671410010")</f>
        <v>20662671410010</v>
      </c>
      <c r="I2">
        <v>50</v>
      </c>
      <c r="J2">
        <v>3600</v>
      </c>
    </row>
    <row r="3" spans="1:10" x14ac:dyDescent="0.3">
      <c r="A3" t="s">
        <v>298</v>
      </c>
      <c r="B3" t="str">
        <f>("662671410023")</f>
        <v>662671410023</v>
      </c>
      <c r="C3" t="s">
        <v>2</v>
      </c>
      <c r="D3" t="s">
        <v>3</v>
      </c>
      <c r="E3">
        <v>7.91</v>
      </c>
      <c r="F3" s="1">
        <v>44713</v>
      </c>
      <c r="G3">
        <v>8.5999999999999993E-2</v>
      </c>
      <c r="H3" t="str">
        <f>("20662671410027")</f>
        <v>20662671410027</v>
      </c>
      <c r="I3">
        <v>50</v>
      </c>
      <c r="J3">
        <v>1600</v>
      </c>
    </row>
    <row r="4" spans="1:10" x14ac:dyDescent="0.3">
      <c r="A4" t="s">
        <v>298</v>
      </c>
      <c r="B4" t="str">
        <f>("662671410740")</f>
        <v>662671410740</v>
      </c>
      <c r="C4" t="s">
        <v>4</v>
      </c>
      <c r="D4" t="s">
        <v>5</v>
      </c>
      <c r="E4">
        <v>30.59</v>
      </c>
      <c r="F4" s="1">
        <v>44713</v>
      </c>
      <c r="G4">
        <v>0.317</v>
      </c>
      <c r="H4" t="str">
        <f>("20662671410744")</f>
        <v>20662671410744</v>
      </c>
      <c r="I4">
        <v>25</v>
      </c>
      <c r="J4">
        <v>450</v>
      </c>
    </row>
    <row r="5" spans="1:10" x14ac:dyDescent="0.3">
      <c r="A5" t="s">
        <v>298</v>
      </c>
      <c r="B5" t="str">
        <f>("662671410030")</f>
        <v>662671410030</v>
      </c>
      <c r="C5" t="s">
        <v>6</v>
      </c>
      <c r="D5" t="s">
        <v>7</v>
      </c>
      <c r="E5">
        <v>21.95</v>
      </c>
      <c r="F5" s="1">
        <v>44713</v>
      </c>
      <c r="G5">
        <v>0.219</v>
      </c>
      <c r="H5" t="str">
        <f>("20662671410034")</f>
        <v>20662671410034</v>
      </c>
      <c r="I5">
        <v>35</v>
      </c>
      <c r="J5">
        <v>630</v>
      </c>
    </row>
    <row r="6" spans="1:10" x14ac:dyDescent="0.3">
      <c r="A6" t="s">
        <v>298</v>
      </c>
      <c r="B6" t="str">
        <f>("662671410047")</f>
        <v>662671410047</v>
      </c>
      <c r="C6" t="s">
        <v>8</v>
      </c>
      <c r="D6" t="s">
        <v>9</v>
      </c>
      <c r="E6">
        <v>24.51</v>
      </c>
      <c r="F6" s="1">
        <v>44713</v>
      </c>
      <c r="G6">
        <v>0.372</v>
      </c>
      <c r="H6" t="str">
        <f>("20662671410041")</f>
        <v>20662671410041</v>
      </c>
      <c r="I6">
        <v>20</v>
      </c>
      <c r="J6">
        <v>360</v>
      </c>
    </row>
    <row r="7" spans="1:10" x14ac:dyDescent="0.3">
      <c r="A7" t="s">
        <v>298</v>
      </c>
      <c r="B7" t="str">
        <f>("662671411754")</f>
        <v>662671411754</v>
      </c>
      <c r="C7" t="s">
        <v>10</v>
      </c>
      <c r="D7" t="s">
        <v>11</v>
      </c>
      <c r="E7">
        <v>38.479999999999997</v>
      </c>
      <c r="F7" s="1">
        <v>44713</v>
      </c>
      <c r="G7">
        <v>0.44400000000000001</v>
      </c>
      <c r="H7" t="str">
        <f>("20662671411758")</f>
        <v>20662671411758</v>
      </c>
      <c r="I7">
        <v>15</v>
      </c>
      <c r="J7">
        <v>270</v>
      </c>
    </row>
    <row r="8" spans="1:10" x14ac:dyDescent="0.3">
      <c r="A8" t="s">
        <v>298</v>
      </c>
      <c r="B8" t="str">
        <f>("662671410054")</f>
        <v>662671410054</v>
      </c>
      <c r="C8" t="s">
        <v>12</v>
      </c>
      <c r="D8" t="s">
        <v>13</v>
      </c>
      <c r="E8">
        <v>99</v>
      </c>
      <c r="F8" s="1">
        <v>44713</v>
      </c>
      <c r="G8">
        <v>1.325</v>
      </c>
      <c r="H8" t="str">
        <f>("20662671410058")</f>
        <v>20662671410058</v>
      </c>
      <c r="I8">
        <v>5</v>
      </c>
      <c r="J8">
        <v>90</v>
      </c>
    </row>
    <row r="9" spans="1:10" x14ac:dyDescent="0.3">
      <c r="A9" t="s">
        <v>298</v>
      </c>
      <c r="B9" t="str">
        <f>("662671410702")</f>
        <v>662671410702</v>
      </c>
      <c r="C9" t="s">
        <v>14</v>
      </c>
      <c r="D9" t="s">
        <v>15</v>
      </c>
      <c r="E9">
        <v>44.44</v>
      </c>
      <c r="F9" s="1">
        <v>44713</v>
      </c>
      <c r="G9">
        <v>0.52300000000000002</v>
      </c>
      <c r="H9" t="str">
        <f>("20662671410706")</f>
        <v>20662671410706</v>
      </c>
      <c r="I9">
        <v>20</v>
      </c>
      <c r="J9">
        <v>360</v>
      </c>
    </row>
    <row r="10" spans="1:10" x14ac:dyDescent="0.3">
      <c r="A10" t="s">
        <v>298</v>
      </c>
      <c r="B10" t="str">
        <f>("662671410610")</f>
        <v>662671410610</v>
      </c>
      <c r="C10" t="s">
        <v>16</v>
      </c>
      <c r="D10" t="s">
        <v>17</v>
      </c>
      <c r="E10">
        <v>103.22</v>
      </c>
      <c r="F10" s="1">
        <v>44713</v>
      </c>
      <c r="G10">
        <v>1.151</v>
      </c>
      <c r="H10" t="str">
        <f>("20662671410614")</f>
        <v>20662671410614</v>
      </c>
      <c r="I10">
        <v>6</v>
      </c>
      <c r="J10">
        <v>108</v>
      </c>
    </row>
    <row r="11" spans="1:10" x14ac:dyDescent="0.3">
      <c r="A11" t="s">
        <v>298</v>
      </c>
      <c r="B11" t="str">
        <f>("662671411884")</f>
        <v>662671411884</v>
      </c>
      <c r="C11" t="s">
        <v>18</v>
      </c>
      <c r="D11" t="s">
        <v>19</v>
      </c>
      <c r="E11">
        <v>217.38</v>
      </c>
      <c r="F11" s="1">
        <v>44713</v>
      </c>
      <c r="G11">
        <v>3.548</v>
      </c>
      <c r="H11" t="str">
        <f>("20662671411888")</f>
        <v>20662671411888</v>
      </c>
      <c r="I11">
        <v>1</v>
      </c>
      <c r="J11">
        <v>24</v>
      </c>
    </row>
    <row r="12" spans="1:10" x14ac:dyDescent="0.3">
      <c r="A12" t="s">
        <v>298</v>
      </c>
      <c r="B12" t="str">
        <f>("662671411815")</f>
        <v>662671411815</v>
      </c>
      <c r="C12" t="s">
        <v>20</v>
      </c>
      <c r="D12" t="s">
        <v>21</v>
      </c>
      <c r="E12">
        <v>116.29</v>
      </c>
      <c r="F12" s="1">
        <v>44713</v>
      </c>
      <c r="G12">
        <v>2.8730000000000002</v>
      </c>
      <c r="H12" t="str">
        <f>("20662671411819")</f>
        <v>20662671411819</v>
      </c>
      <c r="I12">
        <v>1</v>
      </c>
      <c r="J12">
        <v>32</v>
      </c>
    </row>
    <row r="13" spans="1:10" x14ac:dyDescent="0.3">
      <c r="A13" t="s">
        <v>298</v>
      </c>
      <c r="B13" t="str">
        <f>("662671411952")</f>
        <v>662671411952</v>
      </c>
      <c r="C13" t="s">
        <v>22</v>
      </c>
      <c r="D13" t="s">
        <v>23</v>
      </c>
      <c r="E13">
        <v>143.97999999999999</v>
      </c>
      <c r="F13" s="1">
        <v>44713</v>
      </c>
      <c r="G13">
        <v>3.1720000000000002</v>
      </c>
      <c r="H13" t="str">
        <f>("20662671411956")</f>
        <v>20662671411956</v>
      </c>
      <c r="I13">
        <v>1</v>
      </c>
      <c r="J13">
        <v>32</v>
      </c>
    </row>
    <row r="14" spans="1:10" x14ac:dyDescent="0.3">
      <c r="A14" t="s">
        <v>298</v>
      </c>
      <c r="B14" t="str">
        <f>("662671410061")</f>
        <v>662671410061</v>
      </c>
      <c r="C14" t="s">
        <v>24</v>
      </c>
      <c r="D14" t="s">
        <v>25</v>
      </c>
      <c r="E14">
        <v>29.25</v>
      </c>
      <c r="F14" s="1">
        <v>44713</v>
      </c>
      <c r="G14">
        <v>0.38300000000000001</v>
      </c>
      <c r="H14" t="str">
        <f>("20662671410065")</f>
        <v>20662671410065</v>
      </c>
      <c r="I14">
        <v>20</v>
      </c>
      <c r="J14">
        <v>360</v>
      </c>
    </row>
    <row r="15" spans="1:10" x14ac:dyDescent="0.3">
      <c r="A15" t="s">
        <v>298</v>
      </c>
      <c r="B15" t="str">
        <f>("662671411969")</f>
        <v>662671411969</v>
      </c>
      <c r="C15" t="s">
        <v>26</v>
      </c>
      <c r="D15" t="s">
        <v>27</v>
      </c>
      <c r="E15">
        <v>34</v>
      </c>
      <c r="F15" s="1">
        <v>44713</v>
      </c>
      <c r="G15">
        <v>0.57999999999999996</v>
      </c>
      <c r="H15" t="str">
        <f>("20662671411963")</f>
        <v>20662671411963</v>
      </c>
      <c r="I15">
        <v>12</v>
      </c>
      <c r="J15">
        <v>216</v>
      </c>
    </row>
    <row r="16" spans="1:10" x14ac:dyDescent="0.3">
      <c r="A16" t="s">
        <v>298</v>
      </c>
      <c r="B16" t="str">
        <f>("662671410078")</f>
        <v>662671410078</v>
      </c>
      <c r="C16" t="s">
        <v>28</v>
      </c>
      <c r="D16" t="s">
        <v>29</v>
      </c>
      <c r="E16">
        <v>26.22</v>
      </c>
      <c r="F16" s="1">
        <v>44713</v>
      </c>
      <c r="G16">
        <v>0.25700000000000001</v>
      </c>
      <c r="H16" t="str">
        <f>("20662671410072")</f>
        <v>20662671410072</v>
      </c>
      <c r="I16">
        <v>25</v>
      </c>
      <c r="J16">
        <v>450</v>
      </c>
    </row>
    <row r="17" spans="1:10" x14ac:dyDescent="0.3">
      <c r="A17" t="s">
        <v>298</v>
      </c>
      <c r="B17" t="str">
        <f>("662671410085")</f>
        <v>662671410085</v>
      </c>
      <c r="C17" t="s">
        <v>30</v>
      </c>
      <c r="D17" t="s">
        <v>31</v>
      </c>
      <c r="E17">
        <v>34</v>
      </c>
      <c r="F17" s="1">
        <v>44713</v>
      </c>
      <c r="G17">
        <v>0.48799999999999999</v>
      </c>
      <c r="H17" t="str">
        <f>("20662671410089")</f>
        <v>20662671410089</v>
      </c>
      <c r="I17">
        <v>12</v>
      </c>
      <c r="J17">
        <v>216</v>
      </c>
    </row>
    <row r="18" spans="1:10" x14ac:dyDescent="0.3">
      <c r="A18" t="s">
        <v>298</v>
      </c>
      <c r="B18" t="str">
        <f>("662671411839")</f>
        <v>662671411839</v>
      </c>
      <c r="C18" t="s">
        <v>32</v>
      </c>
      <c r="D18" t="s">
        <v>33</v>
      </c>
      <c r="E18">
        <v>144.47</v>
      </c>
      <c r="F18" s="1">
        <v>44713</v>
      </c>
      <c r="G18">
        <v>1.421</v>
      </c>
      <c r="H18" t="str">
        <f>("20662671411833")</f>
        <v>20662671411833</v>
      </c>
      <c r="I18">
        <v>5</v>
      </c>
      <c r="J18">
        <v>90</v>
      </c>
    </row>
    <row r="19" spans="1:10" x14ac:dyDescent="0.3">
      <c r="A19" t="s">
        <v>298</v>
      </c>
      <c r="B19" t="str">
        <f>("662671411495")</f>
        <v>662671411495</v>
      </c>
      <c r="C19" t="s">
        <v>34</v>
      </c>
      <c r="D19" t="s">
        <v>35</v>
      </c>
      <c r="E19">
        <v>218.85</v>
      </c>
      <c r="F19" s="1">
        <v>44713</v>
      </c>
      <c r="G19">
        <v>2.0920000000000001</v>
      </c>
      <c r="H19" t="str">
        <f>("20662671411499")</f>
        <v>20662671411499</v>
      </c>
      <c r="I19">
        <v>3</v>
      </c>
      <c r="J19">
        <v>72</v>
      </c>
    </row>
    <row r="20" spans="1:10" x14ac:dyDescent="0.3">
      <c r="A20" t="s">
        <v>298</v>
      </c>
      <c r="B20" t="str">
        <f>("662671411976")</f>
        <v>662671411976</v>
      </c>
      <c r="C20" t="s">
        <v>36</v>
      </c>
      <c r="D20" t="s">
        <v>37</v>
      </c>
      <c r="E20">
        <v>642.79999999999995</v>
      </c>
      <c r="F20" s="1">
        <v>44713</v>
      </c>
      <c r="G20">
        <v>4.3449999999999998</v>
      </c>
      <c r="H20" t="str">
        <f>("20662671411970")</f>
        <v>20662671411970</v>
      </c>
      <c r="I20">
        <v>1</v>
      </c>
      <c r="J20">
        <v>18</v>
      </c>
    </row>
    <row r="21" spans="1:10" x14ac:dyDescent="0.3">
      <c r="A21" t="s">
        <v>298</v>
      </c>
      <c r="B21" t="str">
        <f>("662671411983")</f>
        <v>662671411983</v>
      </c>
      <c r="C21" t="s">
        <v>38</v>
      </c>
      <c r="D21" t="s">
        <v>39</v>
      </c>
      <c r="E21">
        <v>297.39</v>
      </c>
      <c r="F21" s="1">
        <v>44713</v>
      </c>
      <c r="G21">
        <v>2.948</v>
      </c>
      <c r="H21" t="str">
        <f>("20662671411987")</f>
        <v>20662671411987</v>
      </c>
      <c r="I21">
        <v>2</v>
      </c>
      <c r="J21">
        <v>36</v>
      </c>
    </row>
    <row r="22" spans="1:10" x14ac:dyDescent="0.3">
      <c r="A22" t="s">
        <v>298</v>
      </c>
      <c r="B22" t="str">
        <f>("662671411822")</f>
        <v>662671411822</v>
      </c>
      <c r="C22" t="s">
        <v>40</v>
      </c>
      <c r="D22" t="s">
        <v>41</v>
      </c>
      <c r="E22">
        <v>332.1</v>
      </c>
      <c r="F22" s="1">
        <v>44713</v>
      </c>
      <c r="G22">
        <v>2.92</v>
      </c>
      <c r="H22" t="str">
        <f>("20662671411826")</f>
        <v>20662671411826</v>
      </c>
      <c r="I22">
        <v>3</v>
      </c>
      <c r="J22">
        <v>54</v>
      </c>
    </row>
    <row r="23" spans="1:10" x14ac:dyDescent="0.3">
      <c r="A23" t="s">
        <v>298</v>
      </c>
      <c r="B23" t="str">
        <f>("662671412539")</f>
        <v>662671412539</v>
      </c>
      <c r="C23" t="s">
        <v>42</v>
      </c>
      <c r="D23" t="s">
        <v>43</v>
      </c>
      <c r="E23">
        <v>38.119999999999997</v>
      </c>
      <c r="F23" s="1">
        <v>44713</v>
      </c>
      <c r="G23">
        <v>0.35299999999999998</v>
      </c>
      <c r="H23" t="str">
        <f>("20662671412533")</f>
        <v>20662671412533</v>
      </c>
      <c r="I23">
        <v>15</v>
      </c>
      <c r="J23">
        <v>480</v>
      </c>
    </row>
    <row r="24" spans="1:10" x14ac:dyDescent="0.3">
      <c r="A24" t="s">
        <v>298</v>
      </c>
      <c r="B24" t="str">
        <f>("662671410092")</f>
        <v>662671410092</v>
      </c>
      <c r="C24" t="s">
        <v>44</v>
      </c>
      <c r="D24" t="s">
        <v>45</v>
      </c>
      <c r="E24">
        <v>56.32</v>
      </c>
      <c r="F24" s="1">
        <v>44713</v>
      </c>
      <c r="G24">
        <v>0.47199999999999998</v>
      </c>
      <c r="H24" t="str">
        <f>("20662671410096")</f>
        <v>20662671410096</v>
      </c>
      <c r="I24">
        <v>12</v>
      </c>
      <c r="J24">
        <v>216</v>
      </c>
    </row>
    <row r="25" spans="1:10" x14ac:dyDescent="0.3">
      <c r="A25" t="s">
        <v>298</v>
      </c>
      <c r="B25" t="str">
        <f>("662671410108")</f>
        <v>662671410108</v>
      </c>
      <c r="C25" t="s">
        <v>46</v>
      </c>
      <c r="D25" t="s">
        <v>47</v>
      </c>
      <c r="E25">
        <v>26.22</v>
      </c>
      <c r="F25" s="1">
        <v>44713</v>
      </c>
      <c r="G25">
        <v>0.26700000000000002</v>
      </c>
      <c r="H25" t="str">
        <f>("20662671410102")</f>
        <v>20662671410102</v>
      </c>
      <c r="I25">
        <v>25</v>
      </c>
      <c r="J25">
        <v>450</v>
      </c>
    </row>
    <row r="26" spans="1:10" x14ac:dyDescent="0.3">
      <c r="A26" t="s">
        <v>298</v>
      </c>
      <c r="B26" t="str">
        <f>("662671410115")</f>
        <v>662671410115</v>
      </c>
      <c r="C26" t="s">
        <v>48</v>
      </c>
      <c r="D26" t="s">
        <v>49</v>
      </c>
      <c r="E26">
        <v>27.28</v>
      </c>
      <c r="F26" s="1">
        <v>44713</v>
      </c>
      <c r="G26">
        <v>0.52900000000000003</v>
      </c>
      <c r="H26" t="str">
        <f>("20662671410119")</f>
        <v>20662671410119</v>
      </c>
      <c r="I26">
        <v>12</v>
      </c>
      <c r="J26">
        <v>216</v>
      </c>
    </row>
    <row r="27" spans="1:10" x14ac:dyDescent="0.3">
      <c r="A27" t="s">
        <v>298</v>
      </c>
      <c r="B27" t="str">
        <f>("662671410122")</f>
        <v>662671410122</v>
      </c>
      <c r="C27" t="s">
        <v>50</v>
      </c>
      <c r="D27" t="s">
        <v>51</v>
      </c>
      <c r="E27">
        <v>91.03</v>
      </c>
      <c r="F27" s="1">
        <v>44713</v>
      </c>
      <c r="G27">
        <v>1.2230000000000001</v>
      </c>
      <c r="H27" t="str">
        <f>("20662671410126")</f>
        <v>20662671410126</v>
      </c>
      <c r="I27">
        <v>5</v>
      </c>
      <c r="J27">
        <v>90</v>
      </c>
    </row>
    <row r="28" spans="1:10" x14ac:dyDescent="0.3">
      <c r="A28" t="s">
        <v>298</v>
      </c>
      <c r="B28" t="str">
        <f>("662671410139")</f>
        <v>662671410139</v>
      </c>
      <c r="C28" t="s">
        <v>52</v>
      </c>
      <c r="D28" t="s">
        <v>53</v>
      </c>
      <c r="E28">
        <v>101.97</v>
      </c>
      <c r="F28" s="1">
        <v>44713</v>
      </c>
      <c r="G28">
        <v>1.871</v>
      </c>
      <c r="H28" t="str">
        <f>("20662671410133")</f>
        <v>20662671410133</v>
      </c>
      <c r="I28">
        <v>4</v>
      </c>
      <c r="J28">
        <v>72</v>
      </c>
    </row>
    <row r="29" spans="1:10" x14ac:dyDescent="0.3">
      <c r="A29" t="s">
        <v>298</v>
      </c>
      <c r="B29" t="str">
        <f>("662671410641")</f>
        <v>662671410641</v>
      </c>
      <c r="C29" t="s">
        <v>54</v>
      </c>
      <c r="D29" t="s">
        <v>55</v>
      </c>
      <c r="E29">
        <v>224</v>
      </c>
      <c r="F29" s="1">
        <v>44713</v>
      </c>
      <c r="G29">
        <v>4.2990000000000004</v>
      </c>
      <c r="H29" t="str">
        <f>("20662671410645")</f>
        <v>20662671410645</v>
      </c>
      <c r="I29">
        <v>1</v>
      </c>
      <c r="J29">
        <v>18</v>
      </c>
    </row>
    <row r="30" spans="1:10" x14ac:dyDescent="0.3">
      <c r="A30" t="s">
        <v>298</v>
      </c>
      <c r="B30" t="str">
        <f>("662671411921")</f>
        <v>662671411921</v>
      </c>
      <c r="C30" t="s">
        <v>56</v>
      </c>
      <c r="D30" t="s">
        <v>57</v>
      </c>
      <c r="E30">
        <v>206.44</v>
      </c>
      <c r="F30" s="1">
        <v>44713</v>
      </c>
      <c r="G30">
        <v>2.528</v>
      </c>
      <c r="H30" t="str">
        <f>("20662671411925")</f>
        <v>20662671411925</v>
      </c>
      <c r="I30">
        <v>1</v>
      </c>
      <c r="J30">
        <v>48</v>
      </c>
    </row>
    <row r="31" spans="1:10" x14ac:dyDescent="0.3">
      <c r="A31" t="s">
        <v>298</v>
      </c>
      <c r="B31" t="str">
        <f>("662671410733")</f>
        <v>662671410733</v>
      </c>
      <c r="C31" t="s">
        <v>58</v>
      </c>
      <c r="D31" t="s">
        <v>59</v>
      </c>
      <c r="E31">
        <v>215.08</v>
      </c>
      <c r="F31" s="1">
        <v>44713</v>
      </c>
      <c r="G31">
        <v>3.36</v>
      </c>
      <c r="H31" t="str">
        <f>("20662671410737")</f>
        <v>20662671410737</v>
      </c>
      <c r="I31">
        <v>1</v>
      </c>
      <c r="J31">
        <v>18</v>
      </c>
    </row>
    <row r="32" spans="1:10" x14ac:dyDescent="0.3">
      <c r="A32" t="s">
        <v>298</v>
      </c>
      <c r="B32" t="str">
        <f>("662671410153")</f>
        <v>662671410153</v>
      </c>
      <c r="C32" t="s">
        <v>60</v>
      </c>
      <c r="D32" t="s">
        <v>61</v>
      </c>
      <c r="E32">
        <v>31.3</v>
      </c>
      <c r="F32" s="1">
        <v>44713</v>
      </c>
      <c r="G32">
        <v>0.58099999999999996</v>
      </c>
      <c r="H32" t="str">
        <f>("20662671410157")</f>
        <v>20662671410157</v>
      </c>
      <c r="I32">
        <v>12</v>
      </c>
      <c r="J32">
        <v>216</v>
      </c>
    </row>
    <row r="33" spans="1:10" x14ac:dyDescent="0.3">
      <c r="A33" t="s">
        <v>298</v>
      </c>
      <c r="B33" t="str">
        <f>("662671412089")</f>
        <v>662671412089</v>
      </c>
      <c r="C33" t="s">
        <v>62</v>
      </c>
      <c r="D33" t="s">
        <v>63</v>
      </c>
      <c r="E33">
        <v>86.83</v>
      </c>
      <c r="F33" s="1">
        <v>44713</v>
      </c>
      <c r="G33">
        <v>0.64200000000000002</v>
      </c>
      <c r="H33" t="str">
        <f>("20662671412083")</f>
        <v>20662671412083</v>
      </c>
      <c r="I33">
        <v>10</v>
      </c>
      <c r="J33">
        <v>180</v>
      </c>
    </row>
    <row r="34" spans="1:10" x14ac:dyDescent="0.3">
      <c r="A34" t="s">
        <v>298</v>
      </c>
      <c r="B34" t="str">
        <f>("662671411761")</f>
        <v>662671411761</v>
      </c>
      <c r="C34" t="s">
        <v>64</v>
      </c>
      <c r="D34" t="s">
        <v>65</v>
      </c>
      <c r="E34">
        <v>25.92</v>
      </c>
      <c r="F34" s="1">
        <v>44713</v>
      </c>
      <c r="G34">
        <v>0.32600000000000001</v>
      </c>
      <c r="H34" t="str">
        <f>("20662671411765")</f>
        <v>20662671411765</v>
      </c>
      <c r="I34">
        <v>20</v>
      </c>
      <c r="J34">
        <v>480</v>
      </c>
    </row>
    <row r="35" spans="1:10" x14ac:dyDescent="0.3">
      <c r="A35" t="s">
        <v>298</v>
      </c>
      <c r="B35" t="str">
        <f>("662671410160")</f>
        <v>662671410160</v>
      </c>
      <c r="C35" t="s">
        <v>66</v>
      </c>
      <c r="D35" t="s">
        <v>67</v>
      </c>
      <c r="E35">
        <v>21.11</v>
      </c>
      <c r="F35" s="1">
        <v>44713</v>
      </c>
      <c r="G35">
        <v>0.155</v>
      </c>
      <c r="H35" t="str">
        <f>("20662671410164")</f>
        <v>20662671410164</v>
      </c>
      <c r="I35">
        <v>25</v>
      </c>
      <c r="J35">
        <v>800</v>
      </c>
    </row>
    <row r="36" spans="1:10" x14ac:dyDescent="0.3">
      <c r="A36" t="s">
        <v>298</v>
      </c>
      <c r="B36" t="str">
        <f>("662671410177")</f>
        <v>662671410177</v>
      </c>
      <c r="C36" t="s">
        <v>68</v>
      </c>
      <c r="D36" t="s">
        <v>69</v>
      </c>
      <c r="E36">
        <v>22.23</v>
      </c>
      <c r="F36" s="1">
        <v>44713</v>
      </c>
      <c r="G36">
        <v>0.30599999999999999</v>
      </c>
      <c r="H36" t="str">
        <f>("20662671410171")</f>
        <v>20662671410171</v>
      </c>
      <c r="I36">
        <v>25</v>
      </c>
      <c r="J36">
        <v>450</v>
      </c>
    </row>
    <row r="37" spans="1:10" x14ac:dyDescent="0.3">
      <c r="A37" t="s">
        <v>298</v>
      </c>
      <c r="B37" t="str">
        <f>("662671411594")</f>
        <v>662671411594</v>
      </c>
      <c r="C37" t="s">
        <v>70</v>
      </c>
      <c r="D37" t="s">
        <v>71</v>
      </c>
      <c r="E37">
        <v>90.58</v>
      </c>
      <c r="F37" s="1">
        <v>44713</v>
      </c>
      <c r="G37">
        <v>0.65300000000000002</v>
      </c>
      <c r="H37" t="str">
        <f>("20662671411598")</f>
        <v>20662671411598</v>
      </c>
      <c r="I37">
        <v>10</v>
      </c>
      <c r="J37">
        <v>180</v>
      </c>
    </row>
    <row r="38" spans="1:10" x14ac:dyDescent="0.3">
      <c r="A38" t="s">
        <v>298</v>
      </c>
      <c r="B38" t="str">
        <f>("662671410184")</f>
        <v>662671410184</v>
      </c>
      <c r="C38" t="s">
        <v>72</v>
      </c>
      <c r="D38" t="s">
        <v>73</v>
      </c>
      <c r="E38">
        <v>69.47</v>
      </c>
      <c r="F38" s="1">
        <v>44713</v>
      </c>
      <c r="G38">
        <v>1.08</v>
      </c>
      <c r="H38" t="str">
        <f>("20662671410188")</f>
        <v>20662671410188</v>
      </c>
      <c r="I38">
        <v>7</v>
      </c>
      <c r="J38">
        <v>126</v>
      </c>
    </row>
    <row r="39" spans="1:10" x14ac:dyDescent="0.3">
      <c r="A39" t="s">
        <v>298</v>
      </c>
      <c r="B39" t="str">
        <f>("662671410627")</f>
        <v>662671410627</v>
      </c>
      <c r="C39" t="s">
        <v>74</v>
      </c>
      <c r="D39" t="s">
        <v>75</v>
      </c>
      <c r="E39">
        <v>74.27</v>
      </c>
      <c r="F39" s="1">
        <v>44713</v>
      </c>
      <c r="G39">
        <v>0.98099999999999998</v>
      </c>
      <c r="H39" t="str">
        <f>("20662671410621")</f>
        <v>20662671410621</v>
      </c>
      <c r="I39">
        <v>5</v>
      </c>
      <c r="J39">
        <v>90</v>
      </c>
    </row>
    <row r="40" spans="1:10" x14ac:dyDescent="0.3">
      <c r="A40" t="s">
        <v>298</v>
      </c>
      <c r="B40" t="str">
        <f>("662671411648")</f>
        <v>662671411648</v>
      </c>
      <c r="C40" t="s">
        <v>76</v>
      </c>
      <c r="D40" t="s">
        <v>77</v>
      </c>
      <c r="E40">
        <v>156.38</v>
      </c>
      <c r="F40" s="1">
        <v>44713</v>
      </c>
      <c r="G40">
        <v>2.8140000000000001</v>
      </c>
      <c r="H40" t="str">
        <f>("20662671411642")</f>
        <v>20662671411642</v>
      </c>
      <c r="I40">
        <v>1</v>
      </c>
      <c r="J40">
        <v>32</v>
      </c>
    </row>
    <row r="41" spans="1:10" x14ac:dyDescent="0.3">
      <c r="A41" t="s">
        <v>298</v>
      </c>
      <c r="B41" t="str">
        <f>("662671412096")</f>
        <v>662671412096</v>
      </c>
      <c r="C41" t="s">
        <v>78</v>
      </c>
      <c r="D41" t="s">
        <v>79</v>
      </c>
      <c r="E41">
        <v>339.61</v>
      </c>
      <c r="F41" s="1">
        <v>44713</v>
      </c>
      <c r="G41">
        <v>2.609</v>
      </c>
      <c r="H41" t="str">
        <f>("20662671412090")</f>
        <v>20662671412090</v>
      </c>
      <c r="I41">
        <v>2</v>
      </c>
      <c r="J41">
        <v>36</v>
      </c>
    </row>
    <row r="42" spans="1:10" x14ac:dyDescent="0.3">
      <c r="A42" t="s">
        <v>298</v>
      </c>
      <c r="B42" t="str">
        <f>("662671410191")</f>
        <v>662671410191</v>
      </c>
      <c r="C42" t="s">
        <v>80</v>
      </c>
      <c r="D42" t="s">
        <v>81</v>
      </c>
      <c r="E42">
        <v>21.11</v>
      </c>
      <c r="F42" s="1">
        <v>44713</v>
      </c>
      <c r="G42">
        <v>0.20399999999999999</v>
      </c>
      <c r="H42" t="str">
        <f>("20662671410195")</f>
        <v>20662671410195</v>
      </c>
      <c r="I42">
        <v>40</v>
      </c>
      <c r="J42">
        <v>720</v>
      </c>
    </row>
    <row r="43" spans="1:10" x14ac:dyDescent="0.3">
      <c r="A43" t="s">
        <v>298</v>
      </c>
      <c r="B43" t="str">
        <f>("662671410207")</f>
        <v>662671410207</v>
      </c>
      <c r="C43" t="s">
        <v>82</v>
      </c>
      <c r="D43" t="s">
        <v>83</v>
      </c>
      <c r="E43">
        <v>25.05</v>
      </c>
      <c r="F43" s="1">
        <v>44713</v>
      </c>
      <c r="G43">
        <v>0.4</v>
      </c>
      <c r="H43" t="str">
        <f>("20662671410201")</f>
        <v>20662671410201</v>
      </c>
      <c r="I43">
        <v>20</v>
      </c>
      <c r="J43">
        <v>360</v>
      </c>
    </row>
    <row r="44" spans="1:10" x14ac:dyDescent="0.3">
      <c r="A44" t="s">
        <v>298</v>
      </c>
      <c r="B44" t="str">
        <f>("662671411655")</f>
        <v>662671411655</v>
      </c>
      <c r="C44" t="s">
        <v>84</v>
      </c>
      <c r="D44" t="s">
        <v>85</v>
      </c>
      <c r="E44">
        <v>78.239999999999995</v>
      </c>
      <c r="F44" s="1">
        <v>44713</v>
      </c>
      <c r="G44">
        <v>1.268</v>
      </c>
      <c r="H44" t="str">
        <f>("20662671411659")</f>
        <v>20662671411659</v>
      </c>
      <c r="I44">
        <v>4</v>
      </c>
      <c r="J44">
        <v>72</v>
      </c>
    </row>
    <row r="45" spans="1:10" x14ac:dyDescent="0.3">
      <c r="A45" t="s">
        <v>298</v>
      </c>
      <c r="B45" t="str">
        <f>("662671412102")</f>
        <v>662671412102</v>
      </c>
      <c r="C45" t="s">
        <v>86</v>
      </c>
      <c r="D45" t="s">
        <v>87</v>
      </c>
      <c r="E45">
        <v>510.31</v>
      </c>
      <c r="F45" s="1">
        <v>44713</v>
      </c>
      <c r="G45">
        <v>3.0379999999999998</v>
      </c>
      <c r="H45" t="str">
        <f>("20662671412106")</f>
        <v>20662671412106</v>
      </c>
      <c r="I45">
        <v>2</v>
      </c>
      <c r="J45">
        <v>36</v>
      </c>
    </row>
    <row r="46" spans="1:10" x14ac:dyDescent="0.3">
      <c r="A46" t="s">
        <v>298</v>
      </c>
      <c r="B46" t="str">
        <f>("662671410214")</f>
        <v>662671410214</v>
      </c>
      <c r="C46" t="s">
        <v>88</v>
      </c>
      <c r="D46" t="s">
        <v>89</v>
      </c>
      <c r="E46">
        <v>22.08</v>
      </c>
      <c r="F46" s="1">
        <v>44713</v>
      </c>
      <c r="G46">
        <v>0.214</v>
      </c>
      <c r="H46" t="str">
        <f>("20662671410218")</f>
        <v>20662671410218</v>
      </c>
      <c r="I46">
        <v>20</v>
      </c>
      <c r="J46">
        <v>640</v>
      </c>
    </row>
    <row r="47" spans="1:10" x14ac:dyDescent="0.3">
      <c r="A47" t="s">
        <v>298</v>
      </c>
      <c r="B47" t="str">
        <f>("662671410221")</f>
        <v>662671410221</v>
      </c>
      <c r="C47" t="s">
        <v>90</v>
      </c>
      <c r="D47" t="s">
        <v>91</v>
      </c>
      <c r="E47">
        <v>25.92</v>
      </c>
      <c r="F47" s="1">
        <v>44713</v>
      </c>
      <c r="G47">
        <v>0.45800000000000002</v>
      </c>
      <c r="H47" t="str">
        <f>("20662671410225")</f>
        <v>20662671410225</v>
      </c>
      <c r="I47">
        <v>20</v>
      </c>
      <c r="J47">
        <v>360</v>
      </c>
    </row>
    <row r="48" spans="1:10" x14ac:dyDescent="0.3">
      <c r="A48" t="s">
        <v>298</v>
      </c>
      <c r="B48" t="str">
        <f>("662671412126")</f>
        <v>662671412126</v>
      </c>
      <c r="C48" t="s">
        <v>92</v>
      </c>
      <c r="D48" t="s">
        <v>93</v>
      </c>
      <c r="E48">
        <v>13.99</v>
      </c>
      <c r="F48" s="1">
        <v>44713</v>
      </c>
      <c r="G48">
        <v>0.123</v>
      </c>
      <c r="H48" t="str">
        <f>("20662671412120")</f>
        <v>20662671412120</v>
      </c>
      <c r="I48">
        <v>30</v>
      </c>
      <c r="J48">
        <v>2160</v>
      </c>
    </row>
    <row r="49" spans="1:10" x14ac:dyDescent="0.3">
      <c r="A49" t="s">
        <v>298</v>
      </c>
      <c r="B49" t="str">
        <f>("662671410238")</f>
        <v>662671410238</v>
      </c>
      <c r="C49" t="s">
        <v>94</v>
      </c>
      <c r="D49" t="s">
        <v>95</v>
      </c>
      <c r="E49">
        <v>13.99</v>
      </c>
      <c r="F49" s="1">
        <v>44713</v>
      </c>
      <c r="G49">
        <v>0.11899999999999999</v>
      </c>
      <c r="H49" t="str">
        <f>("20662671410232")</f>
        <v>20662671410232</v>
      </c>
      <c r="I49">
        <v>70</v>
      </c>
      <c r="J49">
        <v>1260</v>
      </c>
    </row>
    <row r="50" spans="1:10" x14ac:dyDescent="0.3">
      <c r="A50" t="s">
        <v>298</v>
      </c>
      <c r="B50" t="str">
        <f>("662671410245")</f>
        <v>662671410245</v>
      </c>
      <c r="C50" t="s">
        <v>96</v>
      </c>
      <c r="D50" t="s">
        <v>97</v>
      </c>
      <c r="E50">
        <v>16.82</v>
      </c>
      <c r="F50" s="1">
        <v>44713</v>
      </c>
      <c r="G50">
        <v>0.23100000000000001</v>
      </c>
      <c r="H50" t="str">
        <f>("20662671410249")</f>
        <v>20662671410249</v>
      </c>
      <c r="I50">
        <v>35</v>
      </c>
      <c r="J50">
        <v>630</v>
      </c>
    </row>
    <row r="51" spans="1:10" x14ac:dyDescent="0.3">
      <c r="A51" t="s">
        <v>298</v>
      </c>
      <c r="B51" t="str">
        <f>("662671410252")</f>
        <v>662671410252</v>
      </c>
      <c r="C51" t="s">
        <v>98</v>
      </c>
      <c r="D51" t="s">
        <v>99</v>
      </c>
      <c r="E51">
        <v>54.35</v>
      </c>
      <c r="F51" s="1">
        <v>44713</v>
      </c>
      <c r="G51">
        <v>0.84799999999999998</v>
      </c>
      <c r="H51" t="str">
        <f>("20662671410256")</f>
        <v>20662671410256</v>
      </c>
      <c r="I51">
        <v>10</v>
      </c>
      <c r="J51">
        <v>180</v>
      </c>
    </row>
    <row r="52" spans="1:10" x14ac:dyDescent="0.3">
      <c r="A52" t="s">
        <v>298</v>
      </c>
      <c r="B52" t="str">
        <f>("662671410634")</f>
        <v>662671410634</v>
      </c>
      <c r="C52" t="s">
        <v>100</v>
      </c>
      <c r="D52" t="s">
        <v>101</v>
      </c>
      <c r="E52">
        <v>119.3</v>
      </c>
      <c r="F52" s="1">
        <v>44713</v>
      </c>
      <c r="G52">
        <v>1.962</v>
      </c>
      <c r="H52" t="str">
        <f>("20662671410638")</f>
        <v>20662671410638</v>
      </c>
      <c r="I52">
        <v>1</v>
      </c>
      <c r="J52">
        <v>48</v>
      </c>
    </row>
    <row r="53" spans="1:10" x14ac:dyDescent="0.3">
      <c r="A53" t="s">
        <v>298</v>
      </c>
      <c r="B53" t="str">
        <f>("662671410269")</f>
        <v>662671410269</v>
      </c>
      <c r="C53" t="s">
        <v>102</v>
      </c>
      <c r="D53" t="s">
        <v>103</v>
      </c>
      <c r="E53">
        <v>13.08</v>
      </c>
      <c r="F53" s="1">
        <v>44713</v>
      </c>
      <c r="G53">
        <v>0.16900000000000001</v>
      </c>
      <c r="H53" t="str">
        <f>("20662671410263")</f>
        <v>20662671410263</v>
      </c>
      <c r="I53">
        <v>60</v>
      </c>
      <c r="J53">
        <v>1080</v>
      </c>
    </row>
    <row r="54" spans="1:10" x14ac:dyDescent="0.3">
      <c r="A54" t="s">
        <v>298</v>
      </c>
      <c r="B54" t="str">
        <f>("662671410276")</f>
        <v>662671410276</v>
      </c>
      <c r="C54" t="s">
        <v>104</v>
      </c>
      <c r="D54" t="s">
        <v>105</v>
      </c>
      <c r="E54">
        <v>15.67</v>
      </c>
      <c r="F54" s="1">
        <v>44713</v>
      </c>
      <c r="G54">
        <v>0.23899999999999999</v>
      </c>
      <c r="H54" t="str">
        <f>("20662671410270")</f>
        <v>20662671410270</v>
      </c>
      <c r="I54">
        <v>35</v>
      </c>
      <c r="J54">
        <v>630</v>
      </c>
    </row>
    <row r="55" spans="1:10" x14ac:dyDescent="0.3">
      <c r="A55" t="s">
        <v>298</v>
      </c>
      <c r="B55" t="str">
        <f>("662671411532")</f>
        <v>662671411532</v>
      </c>
      <c r="C55" t="s">
        <v>106</v>
      </c>
      <c r="D55" t="s">
        <v>107</v>
      </c>
      <c r="E55">
        <v>58.08</v>
      </c>
      <c r="F55" s="1">
        <v>44713</v>
      </c>
      <c r="G55">
        <v>0.83799999999999997</v>
      </c>
      <c r="H55" t="str">
        <f>("20662671411536")</f>
        <v>20662671411536</v>
      </c>
      <c r="I55">
        <v>10</v>
      </c>
      <c r="J55">
        <v>180</v>
      </c>
    </row>
    <row r="56" spans="1:10" x14ac:dyDescent="0.3">
      <c r="A56" t="s">
        <v>298</v>
      </c>
      <c r="B56" t="str">
        <f>("662671412003")</f>
        <v>662671412003</v>
      </c>
      <c r="C56" t="s">
        <v>108</v>
      </c>
      <c r="D56" t="s">
        <v>109</v>
      </c>
      <c r="E56">
        <v>116.28</v>
      </c>
      <c r="F56" s="1">
        <v>44713</v>
      </c>
      <c r="G56">
        <v>2.0649999999999999</v>
      </c>
      <c r="H56" t="str">
        <f>("20662671412007")</f>
        <v>20662671412007</v>
      </c>
      <c r="I56">
        <v>1</v>
      </c>
      <c r="J56">
        <v>48</v>
      </c>
    </row>
    <row r="57" spans="1:10" x14ac:dyDescent="0.3">
      <c r="A57" t="s">
        <v>298</v>
      </c>
      <c r="B57" t="str">
        <f>("662671412584")</f>
        <v>662671412584</v>
      </c>
      <c r="C57" t="s">
        <v>110</v>
      </c>
      <c r="D57" t="s">
        <v>111</v>
      </c>
      <c r="E57">
        <v>60.44</v>
      </c>
      <c r="F57" s="1">
        <v>44713</v>
      </c>
      <c r="G57">
        <v>9.8000000000000004E-2</v>
      </c>
      <c r="H57" t="str">
        <f>("20662671412588")</f>
        <v>20662671412588</v>
      </c>
      <c r="I57">
        <v>15</v>
      </c>
      <c r="J57">
        <v>2160</v>
      </c>
    </row>
    <row r="58" spans="1:10" x14ac:dyDescent="0.3">
      <c r="A58" t="s">
        <v>298</v>
      </c>
      <c r="B58" t="str">
        <f>("662671410283")</f>
        <v>662671410283</v>
      </c>
      <c r="C58" t="s">
        <v>112</v>
      </c>
      <c r="D58" t="s">
        <v>113</v>
      </c>
      <c r="E58">
        <v>21.33</v>
      </c>
      <c r="F58" s="1">
        <v>44713</v>
      </c>
      <c r="G58">
        <v>0.114</v>
      </c>
      <c r="H58" t="str">
        <f>("20662671410287")</f>
        <v>20662671410287</v>
      </c>
      <c r="I58">
        <v>25</v>
      </c>
      <c r="J58">
        <v>1200</v>
      </c>
    </row>
    <row r="59" spans="1:10" x14ac:dyDescent="0.3">
      <c r="A59" t="s">
        <v>298</v>
      </c>
      <c r="B59" t="str">
        <f>("662671410290")</f>
        <v>662671410290</v>
      </c>
      <c r="C59" t="s">
        <v>114</v>
      </c>
      <c r="D59" t="s">
        <v>115</v>
      </c>
      <c r="E59">
        <v>18.23</v>
      </c>
      <c r="F59" s="1">
        <v>44713</v>
      </c>
      <c r="G59">
        <v>0.22500000000000001</v>
      </c>
      <c r="H59" t="str">
        <f>("20662671410294")</f>
        <v>20662671410294</v>
      </c>
      <c r="I59">
        <v>35</v>
      </c>
      <c r="J59">
        <v>630</v>
      </c>
    </row>
    <row r="60" spans="1:10" x14ac:dyDescent="0.3">
      <c r="A60" t="s">
        <v>298</v>
      </c>
      <c r="B60" t="str">
        <f>("662671410306")</f>
        <v>662671410306</v>
      </c>
      <c r="C60" t="s">
        <v>116</v>
      </c>
      <c r="D60" t="s">
        <v>117</v>
      </c>
      <c r="E60">
        <v>71.77</v>
      </c>
      <c r="F60" s="1">
        <v>44713</v>
      </c>
      <c r="G60">
        <v>0.749</v>
      </c>
      <c r="H60" t="str">
        <f>("20662671410300")</f>
        <v>20662671410300</v>
      </c>
      <c r="I60">
        <v>12</v>
      </c>
      <c r="J60">
        <v>216</v>
      </c>
    </row>
    <row r="61" spans="1:10" x14ac:dyDescent="0.3">
      <c r="A61" t="s">
        <v>298</v>
      </c>
      <c r="B61" t="str">
        <f>("662671412034")</f>
        <v>662671412034</v>
      </c>
      <c r="C61" t="s">
        <v>118</v>
      </c>
      <c r="D61" t="s">
        <v>119</v>
      </c>
      <c r="E61">
        <v>223.04</v>
      </c>
      <c r="F61" s="1">
        <v>44713</v>
      </c>
      <c r="G61">
        <v>1.6419999999999999</v>
      </c>
      <c r="H61" t="str">
        <f>("20662671412038")</f>
        <v>20662671412038</v>
      </c>
      <c r="I61">
        <v>1</v>
      </c>
      <c r="J61">
        <v>48</v>
      </c>
    </row>
    <row r="62" spans="1:10" x14ac:dyDescent="0.3">
      <c r="A62" t="s">
        <v>298</v>
      </c>
      <c r="B62" t="str">
        <f>("662671411686")</f>
        <v>662671411686</v>
      </c>
      <c r="C62" t="s">
        <v>120</v>
      </c>
      <c r="D62" t="s">
        <v>121</v>
      </c>
      <c r="E62">
        <v>98.32</v>
      </c>
      <c r="F62" s="1">
        <v>44713</v>
      </c>
      <c r="G62">
        <v>1.139</v>
      </c>
      <c r="H62" t="str">
        <f>("20662671411680")</f>
        <v>20662671411680</v>
      </c>
      <c r="I62">
        <v>8</v>
      </c>
      <c r="J62">
        <v>144</v>
      </c>
    </row>
    <row r="63" spans="1:10" x14ac:dyDescent="0.3">
      <c r="A63" t="s">
        <v>298</v>
      </c>
      <c r="B63" t="str">
        <f>("662671411600")</f>
        <v>662671411600</v>
      </c>
      <c r="C63" t="s">
        <v>122</v>
      </c>
      <c r="D63" t="s">
        <v>123</v>
      </c>
      <c r="E63">
        <v>21.33</v>
      </c>
      <c r="F63" s="1">
        <v>44713</v>
      </c>
      <c r="G63">
        <v>0.27800000000000002</v>
      </c>
      <c r="H63" t="str">
        <f>("20662671411604")</f>
        <v>20662671411604</v>
      </c>
      <c r="I63">
        <v>15</v>
      </c>
      <c r="J63">
        <v>720</v>
      </c>
    </row>
    <row r="64" spans="1:10" x14ac:dyDescent="0.3">
      <c r="A64" t="s">
        <v>298</v>
      </c>
      <c r="B64" t="str">
        <f>("662671412041")</f>
        <v>662671412041</v>
      </c>
      <c r="C64" t="s">
        <v>124</v>
      </c>
      <c r="D64" t="s">
        <v>125</v>
      </c>
      <c r="E64">
        <v>245.82</v>
      </c>
      <c r="F64" s="1">
        <v>44713</v>
      </c>
      <c r="G64">
        <v>1.216</v>
      </c>
      <c r="H64" t="str">
        <f>("20662671412045")</f>
        <v>20662671412045</v>
      </c>
      <c r="I64">
        <v>1</v>
      </c>
      <c r="J64">
        <v>48</v>
      </c>
    </row>
    <row r="65" spans="1:10" x14ac:dyDescent="0.3">
      <c r="A65" t="s">
        <v>298</v>
      </c>
      <c r="B65" t="str">
        <f>("662671412621")</f>
        <v>662671412621</v>
      </c>
      <c r="C65" t="s">
        <v>126</v>
      </c>
      <c r="D65" t="s">
        <v>127</v>
      </c>
      <c r="E65">
        <v>46.24</v>
      </c>
      <c r="F65" s="1">
        <v>44713</v>
      </c>
      <c r="G65">
        <v>7.9000000000000001E-2</v>
      </c>
      <c r="H65" t="str">
        <f>("20662671412625")</f>
        <v>20662671412625</v>
      </c>
      <c r="I65">
        <v>15</v>
      </c>
      <c r="J65">
        <v>2160</v>
      </c>
    </row>
    <row r="66" spans="1:10" x14ac:dyDescent="0.3">
      <c r="A66" t="s">
        <v>298</v>
      </c>
      <c r="B66" t="str">
        <f>("662671410313")</f>
        <v>662671410313</v>
      </c>
      <c r="C66" t="s">
        <v>128</v>
      </c>
      <c r="D66" t="s">
        <v>129</v>
      </c>
      <c r="E66">
        <v>8.5500000000000007</v>
      </c>
      <c r="F66" s="1">
        <v>44713</v>
      </c>
      <c r="G66">
        <v>8.7999999999999995E-2</v>
      </c>
      <c r="H66" t="str">
        <f>("20662671410317")</f>
        <v>20662671410317</v>
      </c>
      <c r="I66">
        <v>50</v>
      </c>
      <c r="J66">
        <v>1600</v>
      </c>
    </row>
    <row r="67" spans="1:10" x14ac:dyDescent="0.3">
      <c r="A67" t="s">
        <v>298</v>
      </c>
      <c r="B67" t="str">
        <f>("662671410320")</f>
        <v>662671410320</v>
      </c>
      <c r="C67" t="s">
        <v>130</v>
      </c>
      <c r="D67" t="s">
        <v>131</v>
      </c>
      <c r="E67">
        <v>9.98</v>
      </c>
      <c r="F67" s="1">
        <v>44713</v>
      </c>
      <c r="G67">
        <v>0.155</v>
      </c>
      <c r="H67" t="str">
        <f>("20662671410324")</f>
        <v>20662671410324</v>
      </c>
      <c r="I67">
        <v>55</v>
      </c>
      <c r="J67">
        <v>990</v>
      </c>
    </row>
    <row r="68" spans="1:10" x14ac:dyDescent="0.3">
      <c r="A68" t="s">
        <v>298</v>
      </c>
      <c r="B68" t="str">
        <f>("662671411624")</f>
        <v>662671411624</v>
      </c>
      <c r="C68" t="s">
        <v>132</v>
      </c>
      <c r="D68" t="s">
        <v>133</v>
      </c>
      <c r="E68">
        <v>72.88</v>
      </c>
      <c r="F68" s="1">
        <v>44713</v>
      </c>
      <c r="G68">
        <v>1.369</v>
      </c>
      <c r="H68" t="str">
        <f>("20662671411628")</f>
        <v>20662671411628</v>
      </c>
      <c r="I68">
        <v>1</v>
      </c>
      <c r="J68">
        <v>48</v>
      </c>
    </row>
    <row r="69" spans="1:10" x14ac:dyDescent="0.3">
      <c r="A69" t="s">
        <v>298</v>
      </c>
      <c r="B69" t="str">
        <f>("662671410337")</f>
        <v>662671410337</v>
      </c>
      <c r="C69" t="s">
        <v>134</v>
      </c>
      <c r="D69" t="s">
        <v>135</v>
      </c>
      <c r="E69">
        <v>31.06</v>
      </c>
      <c r="F69" s="1">
        <v>44713</v>
      </c>
      <c r="G69">
        <v>0.64700000000000002</v>
      </c>
      <c r="H69" t="str">
        <f>("20662671410331")</f>
        <v>20662671410331</v>
      </c>
      <c r="I69">
        <v>10</v>
      </c>
      <c r="J69">
        <v>240</v>
      </c>
    </row>
    <row r="70" spans="1:10" x14ac:dyDescent="0.3">
      <c r="A70" t="s">
        <v>298</v>
      </c>
      <c r="B70" t="str">
        <f>("662671410344")</f>
        <v>662671410344</v>
      </c>
      <c r="C70" t="s">
        <v>136</v>
      </c>
      <c r="D70" t="s">
        <v>137</v>
      </c>
      <c r="E70">
        <v>15.24</v>
      </c>
      <c r="F70" s="1">
        <v>44713</v>
      </c>
      <c r="G70">
        <v>0.151</v>
      </c>
      <c r="H70" t="str">
        <f>("20662671410348")</f>
        <v>20662671410348</v>
      </c>
      <c r="I70">
        <v>30</v>
      </c>
      <c r="J70">
        <v>1440</v>
      </c>
    </row>
    <row r="71" spans="1:10" x14ac:dyDescent="0.3">
      <c r="A71" t="s">
        <v>298</v>
      </c>
      <c r="B71" t="str">
        <f>("662671410351")</f>
        <v>662671410351</v>
      </c>
      <c r="C71" t="s">
        <v>138</v>
      </c>
      <c r="D71" t="s">
        <v>139</v>
      </c>
      <c r="E71">
        <v>17.98</v>
      </c>
      <c r="F71" s="1">
        <v>44713</v>
      </c>
      <c r="G71">
        <v>0.23300000000000001</v>
      </c>
      <c r="H71" t="str">
        <f>("20662671410355")</f>
        <v>20662671410355</v>
      </c>
      <c r="I71">
        <v>25</v>
      </c>
      <c r="J71">
        <v>1200</v>
      </c>
    </row>
    <row r="72" spans="1:10" x14ac:dyDescent="0.3">
      <c r="A72" t="s">
        <v>298</v>
      </c>
      <c r="B72" t="str">
        <f>("662671410368")</f>
        <v>662671410368</v>
      </c>
      <c r="C72" t="s">
        <v>140</v>
      </c>
      <c r="D72" t="s">
        <v>141</v>
      </c>
      <c r="E72">
        <v>46.97</v>
      </c>
      <c r="F72" s="1">
        <v>44713</v>
      </c>
      <c r="G72">
        <v>0.49</v>
      </c>
      <c r="H72" t="str">
        <f>("20662671410362")</f>
        <v>20662671410362</v>
      </c>
      <c r="I72">
        <v>20</v>
      </c>
      <c r="J72">
        <v>360</v>
      </c>
    </row>
    <row r="73" spans="1:10" x14ac:dyDescent="0.3">
      <c r="A73" t="s">
        <v>298</v>
      </c>
      <c r="B73" t="str">
        <f>("662671411907")</f>
        <v>662671411907</v>
      </c>
      <c r="C73" t="s">
        <v>142</v>
      </c>
      <c r="D73" t="s">
        <v>143</v>
      </c>
      <c r="E73">
        <v>14.42</v>
      </c>
      <c r="F73" s="1">
        <v>44713</v>
      </c>
      <c r="G73">
        <v>8.5999999999999993E-2</v>
      </c>
      <c r="H73" t="str">
        <f>("20662671411901")</f>
        <v>20662671411901</v>
      </c>
      <c r="I73">
        <v>40</v>
      </c>
      <c r="J73">
        <v>2880</v>
      </c>
    </row>
    <row r="74" spans="1:10" x14ac:dyDescent="0.3">
      <c r="A74" t="s">
        <v>298</v>
      </c>
      <c r="B74" t="str">
        <f>("662671410375")</f>
        <v>662671410375</v>
      </c>
      <c r="C74" t="s">
        <v>144</v>
      </c>
      <c r="D74" t="s">
        <v>145</v>
      </c>
      <c r="E74">
        <v>19</v>
      </c>
      <c r="F74" s="1">
        <v>44713</v>
      </c>
      <c r="G74">
        <v>0.16300000000000001</v>
      </c>
      <c r="H74" t="str">
        <f>("20662671410379")</f>
        <v>20662671410379</v>
      </c>
      <c r="I74">
        <v>40</v>
      </c>
      <c r="J74">
        <v>1920</v>
      </c>
    </row>
    <row r="75" spans="1:10" x14ac:dyDescent="0.3">
      <c r="A75" t="s">
        <v>298</v>
      </c>
      <c r="B75" t="str">
        <f>("662671410382")</f>
        <v>662671410382</v>
      </c>
      <c r="C75" t="s">
        <v>146</v>
      </c>
      <c r="D75" t="s">
        <v>147</v>
      </c>
      <c r="E75">
        <v>25.92</v>
      </c>
      <c r="F75" s="1">
        <v>44713</v>
      </c>
      <c r="G75">
        <v>0.13900000000000001</v>
      </c>
      <c r="H75" t="str">
        <f>("20662671410386")</f>
        <v>20662671410386</v>
      </c>
      <c r="I75">
        <v>40</v>
      </c>
      <c r="J75">
        <v>1920</v>
      </c>
    </row>
    <row r="76" spans="1:10" x14ac:dyDescent="0.3">
      <c r="A76" t="s">
        <v>298</v>
      </c>
      <c r="B76" t="str">
        <f>("662671410399")</f>
        <v>662671410399</v>
      </c>
      <c r="C76" t="s">
        <v>148</v>
      </c>
      <c r="D76" t="s">
        <v>149</v>
      </c>
      <c r="E76">
        <v>18.739999999999998</v>
      </c>
      <c r="F76" s="1">
        <v>44713</v>
      </c>
      <c r="G76">
        <v>0.151</v>
      </c>
      <c r="H76" t="str">
        <f>("20662671410393")</f>
        <v>20662671410393</v>
      </c>
      <c r="I76">
        <v>40</v>
      </c>
      <c r="J76">
        <v>1920</v>
      </c>
    </row>
    <row r="77" spans="1:10" x14ac:dyDescent="0.3">
      <c r="A77" t="s">
        <v>298</v>
      </c>
      <c r="B77" t="str">
        <f>("662671410405")</f>
        <v>662671410405</v>
      </c>
      <c r="C77" t="s">
        <v>150</v>
      </c>
      <c r="D77" t="s">
        <v>151</v>
      </c>
      <c r="E77">
        <v>27.74</v>
      </c>
      <c r="F77" s="1">
        <v>44713</v>
      </c>
      <c r="G77">
        <v>0.189</v>
      </c>
      <c r="H77" t="str">
        <f>("20662671410409")</f>
        <v>20662671410409</v>
      </c>
      <c r="I77">
        <v>60</v>
      </c>
      <c r="J77">
        <v>1920</v>
      </c>
    </row>
    <row r="78" spans="1:10" x14ac:dyDescent="0.3">
      <c r="A78" t="s">
        <v>298</v>
      </c>
      <c r="B78" t="str">
        <f>("662671411709")</f>
        <v>662671411709</v>
      </c>
      <c r="C78" t="s">
        <v>152</v>
      </c>
      <c r="D78" t="s">
        <v>153</v>
      </c>
      <c r="E78">
        <v>11.33</v>
      </c>
      <c r="F78" s="1">
        <v>44713</v>
      </c>
      <c r="G78">
        <v>8.4000000000000005E-2</v>
      </c>
      <c r="H78" t="str">
        <f>("20662671411703")</f>
        <v>20662671411703</v>
      </c>
      <c r="I78">
        <v>18</v>
      </c>
      <c r="J78">
        <v>2592</v>
      </c>
    </row>
    <row r="79" spans="1:10" x14ac:dyDescent="0.3">
      <c r="A79" t="s">
        <v>298</v>
      </c>
      <c r="B79" t="str">
        <f>("662671410412")</f>
        <v>662671410412</v>
      </c>
      <c r="C79" t="s">
        <v>154</v>
      </c>
      <c r="D79" t="s">
        <v>155</v>
      </c>
      <c r="E79">
        <v>50.04</v>
      </c>
      <c r="F79" s="1">
        <v>44713</v>
      </c>
      <c r="G79">
        <v>0.46200000000000002</v>
      </c>
      <c r="H79" t="str">
        <f>("20662671410416")</f>
        <v>20662671410416</v>
      </c>
      <c r="I79">
        <v>20</v>
      </c>
      <c r="J79">
        <v>360</v>
      </c>
    </row>
    <row r="80" spans="1:10" x14ac:dyDescent="0.3">
      <c r="A80" t="s">
        <v>298</v>
      </c>
      <c r="B80" t="str">
        <f>("662671411617")</f>
        <v>662671411617</v>
      </c>
      <c r="C80" t="s">
        <v>156</v>
      </c>
      <c r="D80" t="s">
        <v>157</v>
      </c>
      <c r="E80">
        <v>60.69</v>
      </c>
      <c r="F80" s="1">
        <v>44713</v>
      </c>
      <c r="G80">
        <v>0.60899999999999999</v>
      </c>
      <c r="H80" t="str">
        <f>("20662671411611")</f>
        <v>20662671411611</v>
      </c>
      <c r="I80">
        <v>20</v>
      </c>
      <c r="J80">
        <v>360</v>
      </c>
    </row>
    <row r="81" spans="1:10" x14ac:dyDescent="0.3">
      <c r="A81" t="s">
        <v>298</v>
      </c>
      <c r="B81" t="str">
        <f>("662671024237")</f>
        <v>662671024237</v>
      </c>
      <c r="C81" t="s">
        <v>158</v>
      </c>
      <c r="D81" t="s">
        <v>159</v>
      </c>
      <c r="E81">
        <v>63.99</v>
      </c>
      <c r="F81" s="1">
        <v>44713</v>
      </c>
      <c r="G81">
        <v>0.82</v>
      </c>
      <c r="H81" t="str">
        <f>("20662671024231")</f>
        <v>20662671024231</v>
      </c>
      <c r="I81">
        <v>10</v>
      </c>
      <c r="J81">
        <v>180</v>
      </c>
    </row>
    <row r="82" spans="1:10" x14ac:dyDescent="0.3">
      <c r="A82" t="s">
        <v>298</v>
      </c>
      <c r="B82" t="str">
        <f>("662671411662")</f>
        <v>662671411662</v>
      </c>
      <c r="C82" t="s">
        <v>160</v>
      </c>
      <c r="D82" t="s">
        <v>161</v>
      </c>
      <c r="E82">
        <v>12.14</v>
      </c>
      <c r="F82" s="1">
        <v>44713</v>
      </c>
      <c r="G82">
        <v>7.8E-2</v>
      </c>
      <c r="H82" t="str">
        <f>("20662671411666")</f>
        <v>20662671411666</v>
      </c>
      <c r="I82">
        <v>50</v>
      </c>
      <c r="J82">
        <v>3600</v>
      </c>
    </row>
    <row r="83" spans="1:10" x14ac:dyDescent="0.3">
      <c r="A83" t="s">
        <v>298</v>
      </c>
      <c r="B83" t="str">
        <f>("662671412133")</f>
        <v>662671412133</v>
      </c>
      <c r="C83" t="s">
        <v>162</v>
      </c>
      <c r="D83" t="s">
        <v>163</v>
      </c>
      <c r="E83">
        <v>28.59</v>
      </c>
      <c r="F83" s="1">
        <v>44713</v>
      </c>
      <c r="G83">
        <v>0.28100000000000003</v>
      </c>
      <c r="H83" t="str">
        <f>("20662671412137")</f>
        <v>20662671412137</v>
      </c>
      <c r="I83">
        <v>20</v>
      </c>
      <c r="J83">
        <v>960</v>
      </c>
    </row>
    <row r="84" spans="1:10" x14ac:dyDescent="0.3">
      <c r="A84" t="s">
        <v>298</v>
      </c>
      <c r="B84" t="str">
        <f>("662671410689")</f>
        <v>662671410689</v>
      </c>
      <c r="C84" t="s">
        <v>164</v>
      </c>
      <c r="D84" t="s">
        <v>165</v>
      </c>
      <c r="E84">
        <v>49.85</v>
      </c>
      <c r="F84" s="1">
        <v>44713</v>
      </c>
      <c r="G84">
        <v>0.68</v>
      </c>
      <c r="H84" t="str">
        <f>("20662671410683")</f>
        <v>20662671410683</v>
      </c>
      <c r="I84">
        <v>12</v>
      </c>
      <c r="J84">
        <v>288</v>
      </c>
    </row>
    <row r="85" spans="1:10" x14ac:dyDescent="0.3">
      <c r="A85" t="s">
        <v>298</v>
      </c>
      <c r="B85" t="str">
        <f>("662671412140")</f>
        <v>662671412140</v>
      </c>
      <c r="C85" t="s">
        <v>166</v>
      </c>
      <c r="D85" t="s">
        <v>167</v>
      </c>
      <c r="E85">
        <v>116.96</v>
      </c>
      <c r="F85" s="1">
        <v>44713</v>
      </c>
      <c r="G85">
        <v>0.83</v>
      </c>
      <c r="H85" t="str">
        <f>("20662671412144")</f>
        <v>20662671412144</v>
      </c>
      <c r="I85">
        <v>12</v>
      </c>
      <c r="J85">
        <v>216</v>
      </c>
    </row>
    <row r="86" spans="1:10" x14ac:dyDescent="0.3">
      <c r="A86" t="s">
        <v>298</v>
      </c>
      <c r="B86" t="str">
        <f>("662671410429")</f>
        <v>662671410429</v>
      </c>
      <c r="C86" t="s">
        <v>168</v>
      </c>
      <c r="D86" t="s">
        <v>169</v>
      </c>
      <c r="E86">
        <v>16.41</v>
      </c>
      <c r="F86" s="1">
        <v>44713</v>
      </c>
      <c r="G86">
        <v>0.73</v>
      </c>
      <c r="H86" t="str">
        <f>("20662671410423")</f>
        <v>20662671410423</v>
      </c>
      <c r="I86">
        <v>45</v>
      </c>
      <c r="J86">
        <v>2160</v>
      </c>
    </row>
    <row r="87" spans="1:10" x14ac:dyDescent="0.3">
      <c r="A87" t="s">
        <v>298</v>
      </c>
      <c r="B87" t="str">
        <f>("662671410436")</f>
        <v>662671410436</v>
      </c>
      <c r="C87" t="s">
        <v>170</v>
      </c>
      <c r="D87" t="s">
        <v>171</v>
      </c>
      <c r="E87">
        <v>18.579999999999998</v>
      </c>
      <c r="F87" s="1">
        <v>44713</v>
      </c>
      <c r="G87">
        <v>0.154</v>
      </c>
      <c r="H87" t="str">
        <f>("20662671410430")</f>
        <v>20662671410430</v>
      </c>
      <c r="I87">
        <v>60</v>
      </c>
      <c r="J87">
        <v>1440</v>
      </c>
    </row>
    <row r="88" spans="1:10" x14ac:dyDescent="0.3">
      <c r="A88" t="s">
        <v>298</v>
      </c>
      <c r="B88" t="str">
        <f>("662671411945")</f>
        <v>662671411945</v>
      </c>
      <c r="C88" t="s">
        <v>172</v>
      </c>
      <c r="D88" t="s">
        <v>173</v>
      </c>
      <c r="E88">
        <v>158.38</v>
      </c>
      <c r="F88" s="1">
        <v>44713</v>
      </c>
      <c r="G88">
        <v>0.48699999999999999</v>
      </c>
      <c r="H88" t="str">
        <f>("20662671411949")</f>
        <v>20662671411949</v>
      </c>
      <c r="I88">
        <v>20</v>
      </c>
      <c r="J88">
        <v>360</v>
      </c>
    </row>
    <row r="89" spans="1:10" x14ac:dyDescent="0.3">
      <c r="A89" t="s">
        <v>298</v>
      </c>
      <c r="B89" t="str">
        <f>("662671412157")</f>
        <v>662671412157</v>
      </c>
      <c r="C89" t="s">
        <v>174</v>
      </c>
      <c r="D89" t="s">
        <v>175</v>
      </c>
      <c r="E89">
        <v>376.48</v>
      </c>
      <c r="F89" s="1">
        <v>44713</v>
      </c>
      <c r="G89">
        <v>0.92300000000000004</v>
      </c>
      <c r="H89" t="str">
        <f>("20662671412151")</f>
        <v>20662671412151</v>
      </c>
      <c r="I89">
        <v>8</v>
      </c>
      <c r="J89">
        <v>144</v>
      </c>
    </row>
    <row r="90" spans="1:10" x14ac:dyDescent="0.3">
      <c r="A90" t="s">
        <v>298</v>
      </c>
      <c r="B90" t="str">
        <f>("662671410443")</f>
        <v>662671410443</v>
      </c>
      <c r="C90" t="s">
        <v>176</v>
      </c>
      <c r="D90" t="s">
        <v>177</v>
      </c>
      <c r="E90">
        <v>15.12</v>
      </c>
      <c r="F90" s="1">
        <v>44713</v>
      </c>
      <c r="G90">
        <v>0.157</v>
      </c>
      <c r="H90" t="str">
        <f>("20662671410447")</f>
        <v>20662671410447</v>
      </c>
      <c r="I90">
        <v>60</v>
      </c>
      <c r="J90">
        <v>4320</v>
      </c>
    </row>
    <row r="91" spans="1:10" x14ac:dyDescent="0.3">
      <c r="A91" t="s">
        <v>298</v>
      </c>
      <c r="B91" t="str">
        <f>("662671410450")</f>
        <v>662671410450</v>
      </c>
      <c r="C91" t="s">
        <v>178</v>
      </c>
      <c r="D91" t="s">
        <v>179</v>
      </c>
      <c r="E91">
        <v>10.34</v>
      </c>
      <c r="F91" s="1">
        <v>44713</v>
      </c>
      <c r="G91">
        <v>9.5000000000000001E-2</v>
      </c>
      <c r="H91" t="str">
        <f>("20662671410454")</f>
        <v>20662671410454</v>
      </c>
      <c r="I91">
        <v>75</v>
      </c>
      <c r="J91">
        <v>5400</v>
      </c>
    </row>
    <row r="92" spans="1:10" x14ac:dyDescent="0.3">
      <c r="A92" t="s">
        <v>298</v>
      </c>
      <c r="B92" t="str">
        <f>("662671410467")</f>
        <v>662671410467</v>
      </c>
      <c r="C92" t="s">
        <v>180</v>
      </c>
      <c r="D92" t="s">
        <v>181</v>
      </c>
      <c r="E92">
        <v>14.73</v>
      </c>
      <c r="F92" s="1">
        <v>44713</v>
      </c>
      <c r="G92">
        <v>0.19900000000000001</v>
      </c>
      <c r="H92" t="str">
        <f>("20662671410461")</f>
        <v>20662671410461</v>
      </c>
      <c r="I92">
        <v>60</v>
      </c>
      <c r="J92">
        <v>2880</v>
      </c>
    </row>
    <row r="93" spans="1:10" x14ac:dyDescent="0.3">
      <c r="A93" t="s">
        <v>298</v>
      </c>
      <c r="B93" t="str">
        <f>("662671410474")</f>
        <v>662671410474</v>
      </c>
      <c r="C93" t="s">
        <v>182</v>
      </c>
      <c r="D93" t="s">
        <v>183</v>
      </c>
      <c r="E93">
        <v>27.6</v>
      </c>
      <c r="F93" s="1">
        <v>44713</v>
      </c>
      <c r="G93">
        <v>0.26100000000000001</v>
      </c>
      <c r="H93" t="str">
        <f>("20662671410478")</f>
        <v>20662671410478</v>
      </c>
      <c r="I93">
        <v>20</v>
      </c>
      <c r="J93">
        <v>640</v>
      </c>
    </row>
    <row r="94" spans="1:10" x14ac:dyDescent="0.3">
      <c r="A94" t="s">
        <v>298</v>
      </c>
      <c r="B94" t="str">
        <f>("662671410498")</f>
        <v>662671410498</v>
      </c>
      <c r="C94" t="s">
        <v>184</v>
      </c>
      <c r="D94" t="s">
        <v>185</v>
      </c>
      <c r="E94">
        <v>37.74</v>
      </c>
      <c r="F94" s="1">
        <v>44713</v>
      </c>
      <c r="G94">
        <v>0.23</v>
      </c>
      <c r="H94" t="str">
        <f>("20662671410492")</f>
        <v>20662671410492</v>
      </c>
      <c r="I94">
        <v>25</v>
      </c>
      <c r="J94">
        <v>800</v>
      </c>
    </row>
    <row r="95" spans="1:10" x14ac:dyDescent="0.3">
      <c r="A95" t="s">
        <v>298</v>
      </c>
      <c r="B95" t="str">
        <f>("662671410801")</f>
        <v>662671410801</v>
      </c>
      <c r="C95" t="s">
        <v>186</v>
      </c>
      <c r="D95" t="s">
        <v>187</v>
      </c>
      <c r="E95">
        <v>20.41</v>
      </c>
      <c r="F95" s="1">
        <v>44713</v>
      </c>
      <c r="G95">
        <v>7.3999999999999996E-2</v>
      </c>
      <c r="H95" t="str">
        <f>("20662671410805")</f>
        <v>20662671410805</v>
      </c>
      <c r="I95">
        <v>25</v>
      </c>
      <c r="J95">
        <v>3600</v>
      </c>
    </row>
    <row r="96" spans="1:10" x14ac:dyDescent="0.3">
      <c r="A96" t="s">
        <v>298</v>
      </c>
      <c r="B96" t="str">
        <f>("662671410504")</f>
        <v>662671410504</v>
      </c>
      <c r="C96" t="s">
        <v>188</v>
      </c>
      <c r="D96" t="s">
        <v>189</v>
      </c>
      <c r="E96">
        <v>21.67</v>
      </c>
      <c r="F96" s="1">
        <v>44713</v>
      </c>
      <c r="G96">
        <v>0.14399999999999999</v>
      </c>
      <c r="H96" t="str">
        <f>("20662671410508")</f>
        <v>20662671410508</v>
      </c>
      <c r="I96">
        <v>50</v>
      </c>
      <c r="J96">
        <v>2400</v>
      </c>
    </row>
    <row r="97" spans="1:10" x14ac:dyDescent="0.3">
      <c r="A97" t="s">
        <v>298</v>
      </c>
      <c r="B97" t="str">
        <f>("662671410757")</f>
        <v>662671410757</v>
      </c>
      <c r="C97" t="s">
        <v>190</v>
      </c>
      <c r="D97" t="s">
        <v>191</v>
      </c>
      <c r="E97">
        <v>30.46</v>
      </c>
      <c r="F97" s="1">
        <v>44713</v>
      </c>
      <c r="G97">
        <v>0.61899999999999999</v>
      </c>
      <c r="H97" t="str">
        <f>("20662671410751")</f>
        <v>20662671410751</v>
      </c>
      <c r="I97">
        <v>15</v>
      </c>
      <c r="J97">
        <v>480</v>
      </c>
    </row>
    <row r="98" spans="1:10" x14ac:dyDescent="0.3">
      <c r="A98" t="s">
        <v>298</v>
      </c>
      <c r="B98" t="str">
        <f>("662671411693")</f>
        <v>662671411693</v>
      </c>
      <c r="C98" t="s">
        <v>192</v>
      </c>
      <c r="D98" t="s">
        <v>193</v>
      </c>
      <c r="E98">
        <v>587.91</v>
      </c>
      <c r="F98" s="1">
        <v>44713</v>
      </c>
      <c r="G98">
        <v>1.663</v>
      </c>
      <c r="H98" t="str">
        <f>("20662671411697")</f>
        <v>20662671411697</v>
      </c>
      <c r="I98">
        <v>3</v>
      </c>
      <c r="J98">
        <v>144</v>
      </c>
    </row>
    <row r="99" spans="1:10" x14ac:dyDescent="0.3">
      <c r="A99" t="s">
        <v>298</v>
      </c>
      <c r="B99" t="str">
        <f>("662671410511")</f>
        <v>662671410511</v>
      </c>
      <c r="C99" t="s">
        <v>194</v>
      </c>
      <c r="D99" t="s">
        <v>195</v>
      </c>
      <c r="E99">
        <v>81.08</v>
      </c>
      <c r="F99" s="1">
        <v>44713</v>
      </c>
      <c r="G99">
        <v>0.63200000000000001</v>
      </c>
      <c r="H99" t="str">
        <f>("20662671410515")</f>
        <v>20662671410515</v>
      </c>
      <c r="I99">
        <v>6</v>
      </c>
      <c r="J99">
        <v>192</v>
      </c>
    </row>
    <row r="100" spans="1:10" x14ac:dyDescent="0.3">
      <c r="A100" t="s">
        <v>298</v>
      </c>
      <c r="B100" t="str">
        <f>("662671410528")</f>
        <v>662671410528</v>
      </c>
      <c r="C100" t="s">
        <v>196</v>
      </c>
      <c r="D100" t="s">
        <v>197</v>
      </c>
      <c r="E100">
        <v>9.01</v>
      </c>
      <c r="F100" s="1">
        <v>44713</v>
      </c>
      <c r="G100">
        <v>5.8000000000000003E-2</v>
      </c>
      <c r="H100" t="str">
        <f>("20662671410522")</f>
        <v>20662671410522</v>
      </c>
      <c r="I100">
        <v>60</v>
      </c>
      <c r="J100">
        <v>2880</v>
      </c>
    </row>
    <row r="101" spans="1:10" x14ac:dyDescent="0.3">
      <c r="A101" t="s">
        <v>298</v>
      </c>
      <c r="B101" t="str">
        <f>("662671410535")</f>
        <v>662671410535</v>
      </c>
      <c r="C101" t="s">
        <v>198</v>
      </c>
      <c r="D101" t="s">
        <v>199</v>
      </c>
      <c r="E101">
        <v>10.78</v>
      </c>
      <c r="F101" s="1">
        <v>44713</v>
      </c>
      <c r="G101">
        <v>0.192</v>
      </c>
      <c r="H101" t="str">
        <f>("20662671410539")</f>
        <v>20662671410539</v>
      </c>
      <c r="I101">
        <v>50</v>
      </c>
      <c r="J101">
        <v>1600</v>
      </c>
    </row>
    <row r="102" spans="1:10" x14ac:dyDescent="0.3">
      <c r="A102" t="s">
        <v>298</v>
      </c>
      <c r="B102" t="str">
        <f>("662671410542")</f>
        <v>662671410542</v>
      </c>
      <c r="C102" t="s">
        <v>200</v>
      </c>
      <c r="D102" t="s">
        <v>201</v>
      </c>
      <c r="E102">
        <v>51.63</v>
      </c>
      <c r="F102" s="1">
        <v>44713</v>
      </c>
      <c r="G102">
        <v>0.44900000000000001</v>
      </c>
      <c r="H102" t="str">
        <f>("20662671410546")</f>
        <v>20662671410546</v>
      </c>
      <c r="I102">
        <v>30</v>
      </c>
      <c r="J102">
        <v>540</v>
      </c>
    </row>
    <row r="103" spans="1:10" x14ac:dyDescent="0.3">
      <c r="A103" t="s">
        <v>298</v>
      </c>
      <c r="B103" t="str">
        <f>("662671411563")</f>
        <v>662671411563</v>
      </c>
      <c r="C103" t="s">
        <v>202</v>
      </c>
      <c r="D103" t="s">
        <v>203</v>
      </c>
      <c r="E103">
        <v>103.33</v>
      </c>
      <c r="F103" s="1">
        <v>44713</v>
      </c>
      <c r="G103">
        <v>1.08</v>
      </c>
      <c r="H103" t="str">
        <f>("20662671411567")</f>
        <v>20662671411567</v>
      </c>
      <c r="I103">
        <v>4</v>
      </c>
      <c r="J103">
        <v>128</v>
      </c>
    </row>
    <row r="104" spans="1:10" x14ac:dyDescent="0.3">
      <c r="A104" t="s">
        <v>298</v>
      </c>
      <c r="B104" t="str">
        <f>("662671410559")</f>
        <v>662671410559</v>
      </c>
      <c r="C104" t="s">
        <v>204</v>
      </c>
      <c r="D104" t="s">
        <v>205</v>
      </c>
      <c r="E104">
        <v>100.65</v>
      </c>
      <c r="F104" s="1">
        <v>44713</v>
      </c>
      <c r="G104">
        <v>1.3149999999999999</v>
      </c>
      <c r="H104" t="str">
        <f>("20662671410553")</f>
        <v>20662671410553</v>
      </c>
      <c r="I104">
        <v>6</v>
      </c>
      <c r="J104">
        <v>108</v>
      </c>
    </row>
    <row r="105" spans="1:10" x14ac:dyDescent="0.3">
      <c r="A105" t="s">
        <v>298</v>
      </c>
      <c r="B105" t="str">
        <f>("662671410566")</f>
        <v>662671410566</v>
      </c>
      <c r="C105" t="s">
        <v>206</v>
      </c>
      <c r="D105" t="s">
        <v>207</v>
      </c>
      <c r="E105">
        <v>32.18</v>
      </c>
      <c r="F105" s="1">
        <v>44713</v>
      </c>
      <c r="G105">
        <v>0.82499999999999996</v>
      </c>
      <c r="H105" t="str">
        <f>("20662671410560")</f>
        <v>20662671410560</v>
      </c>
      <c r="I105">
        <v>35</v>
      </c>
      <c r="J105">
        <v>1680</v>
      </c>
    </row>
    <row r="106" spans="1:10" x14ac:dyDescent="0.3">
      <c r="A106" t="s">
        <v>298</v>
      </c>
      <c r="B106" t="str">
        <f>("662671410573")</f>
        <v>662671410573</v>
      </c>
      <c r="C106" t="s">
        <v>208</v>
      </c>
      <c r="D106" t="s">
        <v>209</v>
      </c>
      <c r="E106">
        <v>39.92</v>
      </c>
      <c r="F106" s="1">
        <v>44713</v>
      </c>
      <c r="G106">
        <v>0.314</v>
      </c>
      <c r="H106" t="str">
        <f>("20662671410577")</f>
        <v>20662671410577</v>
      </c>
      <c r="I106">
        <v>30</v>
      </c>
      <c r="J106">
        <v>960</v>
      </c>
    </row>
    <row r="107" spans="1:10" x14ac:dyDescent="0.3">
      <c r="A107" t="s">
        <v>298</v>
      </c>
      <c r="B107" t="str">
        <f>("662671412492")</f>
        <v>662671412492</v>
      </c>
      <c r="C107" t="s">
        <v>210</v>
      </c>
      <c r="D107" t="s">
        <v>211</v>
      </c>
      <c r="E107">
        <v>261.97000000000003</v>
      </c>
      <c r="F107" s="1">
        <v>44713</v>
      </c>
      <c r="G107">
        <v>0.84299999999999997</v>
      </c>
      <c r="H107" t="str">
        <f>("20662671412496")</f>
        <v>20662671412496</v>
      </c>
      <c r="I107">
        <v>6</v>
      </c>
      <c r="J107">
        <v>192</v>
      </c>
    </row>
    <row r="108" spans="1:10" x14ac:dyDescent="0.3">
      <c r="A108" t="s">
        <v>298</v>
      </c>
      <c r="B108" t="str">
        <f>("662671410580")</f>
        <v>662671410580</v>
      </c>
      <c r="C108" t="s">
        <v>212</v>
      </c>
      <c r="D108" t="s">
        <v>213</v>
      </c>
      <c r="E108">
        <v>59.95</v>
      </c>
      <c r="F108" s="1">
        <v>44713</v>
      </c>
      <c r="G108">
        <v>0.35599999999999998</v>
      </c>
      <c r="H108" t="str">
        <f>("20662671410584")</f>
        <v>20662671410584</v>
      </c>
      <c r="I108">
        <v>25</v>
      </c>
      <c r="J108">
        <v>1200</v>
      </c>
    </row>
    <row r="109" spans="1:10" x14ac:dyDescent="0.3">
      <c r="A109" t="s">
        <v>298</v>
      </c>
      <c r="B109" t="str">
        <f>("662671412508")</f>
        <v>662671412508</v>
      </c>
      <c r="C109" t="s">
        <v>214</v>
      </c>
      <c r="D109" t="s">
        <v>215</v>
      </c>
      <c r="E109">
        <v>87.66</v>
      </c>
      <c r="F109" s="1">
        <v>44713</v>
      </c>
      <c r="G109">
        <v>0.56200000000000006</v>
      </c>
      <c r="H109" t="str">
        <f>("20662671412502")</f>
        <v>20662671412502</v>
      </c>
      <c r="I109">
        <v>1</v>
      </c>
      <c r="J109">
        <v>144</v>
      </c>
    </row>
    <row r="110" spans="1:10" x14ac:dyDescent="0.3">
      <c r="A110" t="s">
        <v>298</v>
      </c>
      <c r="B110" t="str">
        <f>("662671412447")</f>
        <v>662671412447</v>
      </c>
      <c r="C110" t="s">
        <v>216</v>
      </c>
      <c r="D110" t="s">
        <v>217</v>
      </c>
      <c r="E110">
        <v>46.06</v>
      </c>
      <c r="F110" s="1">
        <v>44713</v>
      </c>
      <c r="G110">
        <v>9.2999999999999999E-2</v>
      </c>
      <c r="H110" t="str">
        <f>("20662671412441")</f>
        <v>20662671412441</v>
      </c>
      <c r="I110">
        <v>13</v>
      </c>
      <c r="J110">
        <v>936</v>
      </c>
    </row>
    <row r="111" spans="1:10" x14ac:dyDescent="0.3">
      <c r="A111" t="s">
        <v>298</v>
      </c>
      <c r="B111" t="str">
        <f>("662671410658")</f>
        <v>662671410658</v>
      </c>
      <c r="C111" t="s">
        <v>218</v>
      </c>
      <c r="D111" t="s">
        <v>219</v>
      </c>
      <c r="E111">
        <v>20.53</v>
      </c>
      <c r="F111" s="1">
        <v>44713</v>
      </c>
      <c r="G111">
        <v>0.224</v>
      </c>
      <c r="H111" t="str">
        <f>("20662671410652")</f>
        <v>20662671410652</v>
      </c>
      <c r="I111">
        <v>30</v>
      </c>
      <c r="J111">
        <v>540</v>
      </c>
    </row>
    <row r="112" spans="1:10" x14ac:dyDescent="0.3">
      <c r="A112" t="s">
        <v>298</v>
      </c>
      <c r="B112" t="str">
        <f>("662671411730")</f>
        <v>662671411730</v>
      </c>
      <c r="C112" t="s">
        <v>220</v>
      </c>
      <c r="D112" t="s">
        <v>221</v>
      </c>
      <c r="E112">
        <v>71.02</v>
      </c>
      <c r="F112" s="1">
        <v>44713</v>
      </c>
      <c r="G112">
        <v>0.67400000000000004</v>
      </c>
      <c r="H112" t="str">
        <f>("20662671411734")</f>
        <v>20662671411734</v>
      </c>
      <c r="I112">
        <v>10</v>
      </c>
      <c r="J112">
        <v>180</v>
      </c>
    </row>
    <row r="113" spans="1:10" x14ac:dyDescent="0.3">
      <c r="A113" t="s">
        <v>298</v>
      </c>
      <c r="B113" t="str">
        <f>("662671412171")</f>
        <v>662671412171</v>
      </c>
      <c r="C113" t="s">
        <v>222</v>
      </c>
      <c r="D113" t="s">
        <v>223</v>
      </c>
      <c r="E113">
        <v>245.81</v>
      </c>
      <c r="F113" s="1">
        <v>44713</v>
      </c>
      <c r="G113">
        <v>1.5369999999999999</v>
      </c>
      <c r="H113" t="str">
        <f>("20662671412175")</f>
        <v>20662671412175</v>
      </c>
      <c r="I113">
        <v>4</v>
      </c>
      <c r="J113">
        <v>72</v>
      </c>
    </row>
    <row r="114" spans="1:10" x14ac:dyDescent="0.3">
      <c r="A114" t="s">
        <v>298</v>
      </c>
      <c r="B114" t="str">
        <f>("662671410696")</f>
        <v>662671410696</v>
      </c>
      <c r="C114" t="s">
        <v>224</v>
      </c>
      <c r="D114" t="s">
        <v>225</v>
      </c>
      <c r="E114">
        <v>197.25</v>
      </c>
      <c r="F114" s="1">
        <v>44713</v>
      </c>
      <c r="G114">
        <v>1.0880000000000001</v>
      </c>
      <c r="H114" t="str">
        <f>("20662671410690")</f>
        <v>20662671410690</v>
      </c>
      <c r="I114">
        <v>8</v>
      </c>
      <c r="J114">
        <v>144</v>
      </c>
    </row>
    <row r="115" spans="1:10" x14ac:dyDescent="0.3">
      <c r="A115" t="s">
        <v>298</v>
      </c>
      <c r="B115" t="str">
        <f>("662671411631")</f>
        <v>662671411631</v>
      </c>
      <c r="C115" t="s">
        <v>226</v>
      </c>
      <c r="D115" t="s">
        <v>227</v>
      </c>
      <c r="E115">
        <v>201.3</v>
      </c>
      <c r="F115" s="1">
        <v>44713</v>
      </c>
      <c r="G115">
        <v>1.18</v>
      </c>
      <c r="H115" t="str">
        <f>("20662671411635")</f>
        <v>20662671411635</v>
      </c>
      <c r="I115">
        <v>8</v>
      </c>
      <c r="J115">
        <v>144</v>
      </c>
    </row>
    <row r="116" spans="1:10" x14ac:dyDescent="0.3">
      <c r="A116" t="s">
        <v>298</v>
      </c>
      <c r="B116" t="str">
        <f>("662671411877")</f>
        <v>662671411877</v>
      </c>
      <c r="C116" t="s">
        <v>228</v>
      </c>
      <c r="D116" t="s">
        <v>229</v>
      </c>
      <c r="E116">
        <v>16.82</v>
      </c>
      <c r="F116" s="1">
        <v>44713</v>
      </c>
      <c r="G116">
        <v>0.14699999999999999</v>
      </c>
      <c r="H116" t="str">
        <f>("20662671411871")</f>
        <v>20662671411871</v>
      </c>
      <c r="I116">
        <v>40</v>
      </c>
      <c r="J116">
        <v>960</v>
      </c>
    </row>
    <row r="117" spans="1:10" x14ac:dyDescent="0.3">
      <c r="A117" t="s">
        <v>298</v>
      </c>
      <c r="B117" t="str">
        <f>("662671411860")</f>
        <v>662671411860</v>
      </c>
      <c r="C117" t="s">
        <v>230</v>
      </c>
      <c r="D117" t="s">
        <v>231</v>
      </c>
      <c r="E117">
        <v>32.380000000000003</v>
      </c>
      <c r="F117" s="1">
        <v>44713</v>
      </c>
      <c r="G117">
        <v>0.58899999999999997</v>
      </c>
      <c r="H117" t="str">
        <f>("20662671411864")</f>
        <v>20662671411864</v>
      </c>
      <c r="I117">
        <v>12</v>
      </c>
      <c r="J117">
        <v>216</v>
      </c>
    </row>
    <row r="118" spans="1:10" x14ac:dyDescent="0.3">
      <c r="A118" t="s">
        <v>298</v>
      </c>
      <c r="B118" t="str">
        <f>("662671410597")</f>
        <v>662671410597</v>
      </c>
      <c r="C118" t="s">
        <v>232</v>
      </c>
      <c r="D118" t="s">
        <v>233</v>
      </c>
      <c r="E118">
        <v>24.26</v>
      </c>
      <c r="F118" s="1">
        <v>44713</v>
      </c>
      <c r="G118">
        <v>0.11</v>
      </c>
      <c r="H118" t="str">
        <f>("20662671410591")</f>
        <v>20662671410591</v>
      </c>
      <c r="I118">
        <v>35</v>
      </c>
      <c r="J118">
        <v>1680</v>
      </c>
    </row>
    <row r="119" spans="1:10" x14ac:dyDescent="0.3">
      <c r="A119" t="s">
        <v>298</v>
      </c>
      <c r="B119" t="str">
        <f>("662671410603")</f>
        <v>662671410603</v>
      </c>
      <c r="C119" t="s">
        <v>234</v>
      </c>
      <c r="D119" t="s">
        <v>235</v>
      </c>
      <c r="E119">
        <v>26.22</v>
      </c>
      <c r="F119" s="1">
        <v>44713</v>
      </c>
      <c r="G119">
        <v>0.187</v>
      </c>
      <c r="H119" t="str">
        <f>("20662671410607")</f>
        <v>20662671410607</v>
      </c>
      <c r="I119">
        <v>20</v>
      </c>
      <c r="J119">
        <v>960</v>
      </c>
    </row>
    <row r="120" spans="1:10" x14ac:dyDescent="0.3">
      <c r="A120" t="s">
        <v>298</v>
      </c>
      <c r="B120" t="str">
        <f>("662671410771")</f>
        <v>662671410771</v>
      </c>
      <c r="C120" t="s">
        <v>236</v>
      </c>
      <c r="D120" t="s">
        <v>237</v>
      </c>
      <c r="E120">
        <v>76.98</v>
      </c>
      <c r="F120" s="1">
        <v>44713</v>
      </c>
      <c r="G120">
        <v>0.503</v>
      </c>
      <c r="H120" t="str">
        <f>("20662671410775")</f>
        <v>20662671410775</v>
      </c>
      <c r="I120">
        <v>15</v>
      </c>
      <c r="J120">
        <v>270</v>
      </c>
    </row>
    <row r="121" spans="1:10" x14ac:dyDescent="0.3">
      <c r="A121" t="s">
        <v>298</v>
      </c>
      <c r="B121" t="str">
        <f>("662671412201")</f>
        <v>662671412201</v>
      </c>
      <c r="C121" t="s">
        <v>238</v>
      </c>
      <c r="D121" t="s">
        <v>239</v>
      </c>
      <c r="E121">
        <v>153.16999999999999</v>
      </c>
      <c r="F121" s="1">
        <v>44713</v>
      </c>
      <c r="G121">
        <v>0.94499999999999995</v>
      </c>
      <c r="H121" t="str">
        <f>("20662671412205")</f>
        <v>20662671412205</v>
      </c>
      <c r="I121">
        <v>1</v>
      </c>
      <c r="J121">
        <v>72</v>
      </c>
    </row>
    <row r="122" spans="1:10" x14ac:dyDescent="0.3">
      <c r="A122" t="s">
        <v>298</v>
      </c>
      <c r="B122" t="str">
        <f>("662671412218")</f>
        <v>662671412218</v>
      </c>
      <c r="C122" t="s">
        <v>240</v>
      </c>
      <c r="D122" t="s">
        <v>241</v>
      </c>
      <c r="E122">
        <v>23.06</v>
      </c>
      <c r="F122" s="1">
        <v>44713</v>
      </c>
      <c r="G122">
        <v>0.11</v>
      </c>
      <c r="H122" t="str">
        <f>("20662671412212")</f>
        <v>20662671412212</v>
      </c>
      <c r="I122">
        <v>40</v>
      </c>
      <c r="J122">
        <v>1920</v>
      </c>
    </row>
    <row r="123" spans="1:10" x14ac:dyDescent="0.3">
      <c r="A123" t="s">
        <v>298</v>
      </c>
      <c r="B123" t="str">
        <f>("662671410665")</f>
        <v>662671410665</v>
      </c>
      <c r="C123" t="s">
        <v>242</v>
      </c>
      <c r="D123" t="s">
        <v>243</v>
      </c>
      <c r="E123">
        <v>24.68</v>
      </c>
      <c r="F123" s="1">
        <v>44713</v>
      </c>
      <c r="G123">
        <v>0.16600000000000001</v>
      </c>
      <c r="H123" t="str">
        <f>("20662671410669")</f>
        <v>20662671410669</v>
      </c>
      <c r="I123">
        <v>15</v>
      </c>
      <c r="J123">
        <v>1080</v>
      </c>
    </row>
    <row r="124" spans="1:10" x14ac:dyDescent="0.3">
      <c r="A124" t="s">
        <v>298</v>
      </c>
      <c r="B124" t="str">
        <f>("662671410795")</f>
        <v>662671410795</v>
      </c>
      <c r="C124" t="s">
        <v>244</v>
      </c>
      <c r="D124" t="s">
        <v>245</v>
      </c>
      <c r="E124">
        <v>18.52</v>
      </c>
      <c r="F124" s="1">
        <v>44713</v>
      </c>
      <c r="G124">
        <v>0.128</v>
      </c>
      <c r="H124" t="str">
        <f>("20662671410799")</f>
        <v>20662671410799</v>
      </c>
      <c r="I124">
        <v>40</v>
      </c>
      <c r="J124">
        <v>1280</v>
      </c>
    </row>
    <row r="125" spans="1:10" x14ac:dyDescent="0.3">
      <c r="A125" t="s">
        <v>298</v>
      </c>
      <c r="B125" t="str">
        <f>("662671410726")</f>
        <v>662671410726</v>
      </c>
      <c r="C125" t="s">
        <v>246</v>
      </c>
      <c r="D125" t="s">
        <v>247</v>
      </c>
      <c r="E125">
        <v>20.149999999999999</v>
      </c>
      <c r="F125" s="1">
        <v>44713</v>
      </c>
      <c r="G125">
        <v>0.22500000000000001</v>
      </c>
      <c r="H125" t="str">
        <f>("20662671410720")</f>
        <v>20662671410720</v>
      </c>
      <c r="I125">
        <v>25</v>
      </c>
      <c r="J125">
        <v>1200</v>
      </c>
    </row>
    <row r="126" spans="1:10" x14ac:dyDescent="0.3">
      <c r="A126" t="s">
        <v>298</v>
      </c>
      <c r="B126" t="str">
        <f>("662671411716")</f>
        <v>662671411716</v>
      </c>
      <c r="C126" t="s">
        <v>248</v>
      </c>
      <c r="D126" t="s">
        <v>249</v>
      </c>
      <c r="E126">
        <v>60.44</v>
      </c>
      <c r="F126" s="1">
        <v>44713</v>
      </c>
      <c r="G126">
        <v>0.19500000000000001</v>
      </c>
      <c r="H126" t="str">
        <f>("20662671411710")</f>
        <v>20662671411710</v>
      </c>
      <c r="I126">
        <v>65</v>
      </c>
      <c r="J126">
        <v>1170</v>
      </c>
    </row>
    <row r="127" spans="1:10" x14ac:dyDescent="0.3">
      <c r="A127" t="s">
        <v>298</v>
      </c>
      <c r="B127" t="str">
        <f>("662671410719")</f>
        <v>662671410719</v>
      </c>
      <c r="C127" t="s">
        <v>250</v>
      </c>
      <c r="D127" t="s">
        <v>251</v>
      </c>
      <c r="E127">
        <v>70.459999999999994</v>
      </c>
      <c r="F127" s="1">
        <v>44713</v>
      </c>
      <c r="G127">
        <v>0.186</v>
      </c>
      <c r="H127" t="str">
        <f>("20662671410713")</f>
        <v>20662671410713</v>
      </c>
      <c r="I127">
        <v>30</v>
      </c>
      <c r="J127">
        <v>540</v>
      </c>
    </row>
    <row r="128" spans="1:10" x14ac:dyDescent="0.3">
      <c r="A128" t="s">
        <v>298</v>
      </c>
      <c r="B128" t="str">
        <f>("662671411723")</f>
        <v>662671411723</v>
      </c>
      <c r="C128" t="s">
        <v>252</v>
      </c>
      <c r="D128" t="s">
        <v>253</v>
      </c>
      <c r="E128">
        <v>103.99</v>
      </c>
      <c r="F128" s="1">
        <v>44713</v>
      </c>
      <c r="G128">
        <v>0.189</v>
      </c>
      <c r="H128" t="str">
        <f>("20662671411727")</f>
        <v>20662671411727</v>
      </c>
      <c r="I128">
        <v>24</v>
      </c>
      <c r="J128">
        <v>1152</v>
      </c>
    </row>
    <row r="129" spans="1:10" x14ac:dyDescent="0.3">
      <c r="A129" t="s">
        <v>298</v>
      </c>
      <c r="B129" t="str">
        <f>("662671411518")</f>
        <v>662671411518</v>
      </c>
      <c r="C129" t="s">
        <v>254</v>
      </c>
      <c r="D129" t="s">
        <v>255</v>
      </c>
      <c r="E129">
        <v>49.85</v>
      </c>
      <c r="F129" s="1">
        <v>44713</v>
      </c>
      <c r="G129">
        <v>0.55200000000000005</v>
      </c>
      <c r="H129" t="str">
        <f>("20662671411512")</f>
        <v>20662671411512</v>
      </c>
      <c r="I129">
        <v>10</v>
      </c>
      <c r="J129">
        <v>180</v>
      </c>
    </row>
    <row r="130" spans="1:10" x14ac:dyDescent="0.3">
      <c r="A130" t="s">
        <v>298</v>
      </c>
      <c r="B130" t="str">
        <f>("662671412232")</f>
        <v>662671412232</v>
      </c>
      <c r="C130" t="s">
        <v>256</v>
      </c>
      <c r="D130" t="s">
        <v>257</v>
      </c>
      <c r="E130">
        <v>18.23</v>
      </c>
      <c r="F130" s="1">
        <v>44713</v>
      </c>
      <c r="G130">
        <v>0.10199999999999999</v>
      </c>
      <c r="H130" t="str">
        <f>("20662671412236")</f>
        <v>20662671412236</v>
      </c>
      <c r="I130">
        <v>36</v>
      </c>
      <c r="J130">
        <v>1728</v>
      </c>
    </row>
    <row r="131" spans="1:10" x14ac:dyDescent="0.3">
      <c r="A131" t="s">
        <v>298</v>
      </c>
      <c r="B131" t="str">
        <f>("662671412249")</f>
        <v>662671412249</v>
      </c>
      <c r="C131" t="s">
        <v>258</v>
      </c>
      <c r="D131" t="s">
        <v>259</v>
      </c>
      <c r="E131">
        <v>19.84</v>
      </c>
      <c r="F131" s="1">
        <v>44713</v>
      </c>
      <c r="G131">
        <v>0.18</v>
      </c>
      <c r="H131" t="str">
        <f>("20662671412243")</f>
        <v>20662671412243</v>
      </c>
      <c r="I131">
        <v>20</v>
      </c>
      <c r="J131">
        <v>960</v>
      </c>
    </row>
    <row r="132" spans="1:10" x14ac:dyDescent="0.3">
      <c r="A132" t="s">
        <v>298</v>
      </c>
      <c r="B132" t="str">
        <f>("662671412256")</f>
        <v>662671412256</v>
      </c>
      <c r="C132" t="s">
        <v>260</v>
      </c>
      <c r="D132" t="s">
        <v>261</v>
      </c>
      <c r="E132">
        <v>42.24</v>
      </c>
      <c r="F132" s="1">
        <v>44713</v>
      </c>
      <c r="G132">
        <v>0.20499999999999999</v>
      </c>
      <c r="H132" t="str">
        <f>("20662671412250")</f>
        <v>20662671412250</v>
      </c>
      <c r="I132">
        <v>24</v>
      </c>
      <c r="J132">
        <v>768</v>
      </c>
    </row>
    <row r="133" spans="1:10" x14ac:dyDescent="0.3">
      <c r="A133" t="s">
        <v>298</v>
      </c>
      <c r="B133" t="str">
        <f>("662671412263")</f>
        <v>662671412263</v>
      </c>
      <c r="C133" t="s">
        <v>262</v>
      </c>
      <c r="D133" t="s">
        <v>263</v>
      </c>
      <c r="E133">
        <v>120.75</v>
      </c>
      <c r="F133" s="1">
        <v>44713</v>
      </c>
      <c r="G133">
        <v>0.56699999999999995</v>
      </c>
      <c r="H133" t="str">
        <f>("20662671412267")</f>
        <v>20662671412267</v>
      </c>
      <c r="I133">
        <v>8</v>
      </c>
      <c r="J133">
        <v>256</v>
      </c>
    </row>
    <row r="134" spans="1:10" x14ac:dyDescent="0.3">
      <c r="A134" t="s">
        <v>298</v>
      </c>
      <c r="B134" t="str">
        <f>("662671412270")</f>
        <v>662671412270</v>
      </c>
      <c r="C134" t="s">
        <v>264</v>
      </c>
      <c r="D134" t="s">
        <v>265</v>
      </c>
      <c r="E134">
        <v>29.33</v>
      </c>
      <c r="F134" s="1">
        <v>44713</v>
      </c>
      <c r="G134">
        <v>0.157</v>
      </c>
      <c r="H134" t="str">
        <f>("20662671412274")</f>
        <v>20662671412274</v>
      </c>
      <c r="I134">
        <v>32</v>
      </c>
      <c r="J134">
        <v>1024</v>
      </c>
    </row>
    <row r="135" spans="1:10" x14ac:dyDescent="0.3">
      <c r="A135" t="s">
        <v>298</v>
      </c>
      <c r="B135" t="str">
        <f>("662671412515")</f>
        <v>662671412515</v>
      </c>
      <c r="C135" t="s">
        <v>266</v>
      </c>
      <c r="D135" t="s">
        <v>267</v>
      </c>
      <c r="E135">
        <v>68.34</v>
      </c>
      <c r="F135" s="1">
        <v>44713</v>
      </c>
      <c r="G135">
        <v>0.183</v>
      </c>
      <c r="H135" t="str">
        <f>("20662671412519")</f>
        <v>20662671412519</v>
      </c>
      <c r="I135">
        <v>24</v>
      </c>
      <c r="J135">
        <v>768</v>
      </c>
    </row>
    <row r="136" spans="1:10" x14ac:dyDescent="0.3">
      <c r="A136" t="s">
        <v>298</v>
      </c>
      <c r="B136" t="str">
        <f>("662671412522")</f>
        <v>662671412522</v>
      </c>
      <c r="C136" t="s">
        <v>268</v>
      </c>
      <c r="D136" t="s">
        <v>269</v>
      </c>
      <c r="E136">
        <v>128.82</v>
      </c>
      <c r="F136" s="1">
        <v>44713</v>
      </c>
      <c r="G136">
        <v>0.53900000000000003</v>
      </c>
      <c r="H136" t="str">
        <f>("20662671412526")</f>
        <v>20662671412526</v>
      </c>
      <c r="I136">
        <v>6</v>
      </c>
      <c r="J136">
        <v>192</v>
      </c>
    </row>
    <row r="137" spans="1:10" x14ac:dyDescent="0.3">
      <c r="A137" t="s">
        <v>298</v>
      </c>
      <c r="B137" t="str">
        <f>("662671412560")</f>
        <v>662671412560</v>
      </c>
      <c r="C137" t="s">
        <v>270</v>
      </c>
      <c r="D137" t="s">
        <v>271</v>
      </c>
      <c r="E137">
        <v>12.66</v>
      </c>
      <c r="F137" s="1">
        <v>44713</v>
      </c>
      <c r="G137">
        <v>7.8E-2</v>
      </c>
      <c r="H137" t="str">
        <f>("20662671412564")</f>
        <v>20662671412564</v>
      </c>
      <c r="I137">
        <v>45</v>
      </c>
      <c r="J137">
        <v>1440</v>
      </c>
    </row>
    <row r="138" spans="1:10" x14ac:dyDescent="0.3">
      <c r="A138" t="s">
        <v>298</v>
      </c>
      <c r="B138" t="str">
        <f>("662671412355")</f>
        <v>662671412355</v>
      </c>
      <c r="C138" t="s">
        <v>272</v>
      </c>
      <c r="D138" t="s">
        <v>273</v>
      </c>
      <c r="E138">
        <v>145.19</v>
      </c>
      <c r="F138" s="1">
        <v>44713</v>
      </c>
      <c r="G138">
        <v>0.372</v>
      </c>
      <c r="H138" t="str">
        <f>("20662671412359")</f>
        <v>20662671412359</v>
      </c>
      <c r="I138">
        <v>15</v>
      </c>
      <c r="J138">
        <v>270</v>
      </c>
    </row>
    <row r="139" spans="1:10" x14ac:dyDescent="0.3">
      <c r="A139" t="s">
        <v>298</v>
      </c>
      <c r="B139" t="str">
        <f>("662671412362")</f>
        <v>662671412362</v>
      </c>
      <c r="C139" t="s">
        <v>274</v>
      </c>
      <c r="D139" t="s">
        <v>275</v>
      </c>
      <c r="E139">
        <v>213.31</v>
      </c>
      <c r="F139" s="1">
        <v>44713</v>
      </c>
      <c r="G139">
        <v>0.502</v>
      </c>
      <c r="H139" t="str">
        <f>("20662671412366")</f>
        <v>20662671412366</v>
      </c>
      <c r="I139">
        <v>6</v>
      </c>
      <c r="J139">
        <v>192</v>
      </c>
    </row>
    <row r="140" spans="1:10" x14ac:dyDescent="0.3">
      <c r="A140" t="s">
        <v>298</v>
      </c>
      <c r="B140" t="str">
        <f>("662671412379")</f>
        <v>662671412379</v>
      </c>
      <c r="C140" t="s">
        <v>276</v>
      </c>
      <c r="D140" t="s">
        <v>277</v>
      </c>
      <c r="E140">
        <v>219.83</v>
      </c>
      <c r="F140" s="1">
        <v>44713</v>
      </c>
      <c r="G140">
        <v>0.77600000000000002</v>
      </c>
      <c r="H140" t="str">
        <f>("20662671412373")</f>
        <v>20662671412373</v>
      </c>
      <c r="I140">
        <v>10</v>
      </c>
      <c r="J140">
        <v>180</v>
      </c>
    </row>
    <row r="141" spans="1:10" x14ac:dyDescent="0.3">
      <c r="A141" t="s">
        <v>298</v>
      </c>
      <c r="B141" t="str">
        <f>("662671410672")</f>
        <v>662671410672</v>
      </c>
      <c r="C141" t="s">
        <v>278</v>
      </c>
      <c r="D141" t="s">
        <v>279</v>
      </c>
      <c r="E141">
        <v>154.32</v>
      </c>
      <c r="F141" s="1">
        <v>44713</v>
      </c>
      <c r="G141">
        <v>0.61899999999999999</v>
      </c>
      <c r="H141" t="str">
        <f>("20662671410676")</f>
        <v>20662671410676</v>
      </c>
      <c r="I141">
        <v>15</v>
      </c>
      <c r="J141">
        <v>120</v>
      </c>
    </row>
    <row r="142" spans="1:10" x14ac:dyDescent="0.3">
      <c r="A142" t="s">
        <v>298</v>
      </c>
      <c r="B142" t="str">
        <f>("662671412409")</f>
        <v>662671412409</v>
      </c>
      <c r="C142" t="s">
        <v>280</v>
      </c>
      <c r="D142" t="s">
        <v>281</v>
      </c>
      <c r="E142">
        <v>238.68</v>
      </c>
      <c r="F142" s="1">
        <v>44713</v>
      </c>
      <c r="G142">
        <v>0.75</v>
      </c>
      <c r="H142" t="str">
        <f>("20662671412403")</f>
        <v>20662671412403</v>
      </c>
      <c r="I142">
        <v>5</v>
      </c>
      <c r="J142">
        <v>120</v>
      </c>
    </row>
    <row r="143" spans="1:10" x14ac:dyDescent="0.3">
      <c r="A143" t="s">
        <v>298</v>
      </c>
      <c r="B143" t="str">
        <f>("662671412416")</f>
        <v>662671412416</v>
      </c>
      <c r="C143" t="s">
        <v>282</v>
      </c>
      <c r="D143" t="s">
        <v>283</v>
      </c>
      <c r="E143">
        <v>262.92</v>
      </c>
      <c r="F143" s="1">
        <v>44713</v>
      </c>
      <c r="G143">
        <v>1.1930000000000001</v>
      </c>
      <c r="H143" t="str">
        <f>("20662671412410")</f>
        <v>20662671412410</v>
      </c>
      <c r="I143">
        <v>6</v>
      </c>
      <c r="J143">
        <v>108</v>
      </c>
    </row>
    <row r="144" spans="1:10" x14ac:dyDescent="0.3">
      <c r="A144" t="s">
        <v>298</v>
      </c>
      <c r="B144" t="str">
        <f>("662671412423")</f>
        <v>662671412423</v>
      </c>
      <c r="C144" t="s">
        <v>284</v>
      </c>
      <c r="D144" t="s">
        <v>285</v>
      </c>
      <c r="E144">
        <v>35.96</v>
      </c>
      <c r="F144" s="1">
        <v>44713</v>
      </c>
      <c r="G144">
        <v>0.04</v>
      </c>
      <c r="H144" t="str">
        <f>("20662671412427")</f>
        <v>20662671412427</v>
      </c>
      <c r="I144">
        <v>100</v>
      </c>
    </row>
    <row r="145" spans="1:10" x14ac:dyDescent="0.3">
      <c r="A145" t="s">
        <v>298</v>
      </c>
      <c r="B145" t="str">
        <f>("662671412430")</f>
        <v>662671412430</v>
      </c>
      <c r="C145" t="s">
        <v>286</v>
      </c>
      <c r="D145" t="s">
        <v>287</v>
      </c>
      <c r="E145">
        <v>50.27</v>
      </c>
      <c r="F145" s="1">
        <v>44713</v>
      </c>
      <c r="G145">
        <v>0.05</v>
      </c>
      <c r="H145" t="str">
        <f>("20662671412434")</f>
        <v>20662671412434</v>
      </c>
      <c r="I145">
        <v>100</v>
      </c>
      <c r="J145">
        <v>7200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B8F56F0E2BDD4DAA18BC300C211392" ma:contentTypeVersion="14" ma:contentTypeDescription="Create a new document." ma:contentTypeScope="" ma:versionID="6a3f44c28c8a6b8512448349b60ee6aa">
  <xsd:schema xmlns:xsd="http://www.w3.org/2001/XMLSchema" xmlns:xs="http://www.w3.org/2001/XMLSchema" xmlns:p="http://schemas.microsoft.com/office/2006/metadata/properties" xmlns:ns2="dcb317e3-5bca-4665-8c30-bc1548e7cfa5" xmlns:ns3="f9fb5912-8fa2-4b04-a0bd-a7dc4d388eac" targetNamespace="http://schemas.microsoft.com/office/2006/metadata/properties" ma:root="true" ma:fieldsID="7d5a834340989732e5e2a7bff1c2d735" ns2:_="" ns3:_="">
    <xsd:import namespace="dcb317e3-5bca-4665-8c30-bc1548e7cfa5"/>
    <xsd:import namespace="f9fb5912-8fa2-4b04-a0bd-a7dc4d388ea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b317e3-5bca-4665-8c30-bc1548e7cfa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4594a770-4dd8-4e41-968d-6a53c5bf2f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b5912-8fa2-4b04-a0bd-a7dc4d388ea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cb45d942-1985-49d4-affc-0fdd1e6e4d07}" ma:internalName="TaxCatchAll" ma:showField="CatchAllData" ma:web="f9fb5912-8fa2-4b04-a0bd-a7dc4d388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b317e3-5bca-4665-8c30-bc1548e7cfa5">
      <Terms xmlns="http://schemas.microsoft.com/office/infopath/2007/PartnerControls"/>
    </lcf76f155ced4ddcb4097134ff3c332f>
    <TaxCatchAll xmlns="f9fb5912-8fa2-4b04-a0bd-a7dc4d388eac" xsi:nil="true"/>
  </documentManagement>
</p:properties>
</file>

<file path=customXml/itemProps1.xml><?xml version="1.0" encoding="utf-8"?>
<ds:datastoreItem xmlns:ds="http://schemas.openxmlformats.org/officeDocument/2006/customXml" ds:itemID="{323BE090-D9E8-4BEC-8393-2BF15855C51E}"/>
</file>

<file path=customXml/itemProps2.xml><?xml version="1.0" encoding="utf-8"?>
<ds:datastoreItem xmlns:ds="http://schemas.openxmlformats.org/officeDocument/2006/customXml" ds:itemID="{39E251AC-165E-4E55-A70B-A7A9B9188963}"/>
</file>

<file path=customXml/itemProps3.xml><?xml version="1.0" encoding="utf-8"?>
<ds:datastoreItem xmlns:ds="http://schemas.openxmlformats.org/officeDocument/2006/customXml" ds:itemID="{94F6F542-1BFF-4D28-86FB-AA3A85397A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C41-FR-0622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Holmes, Louise</dc:creator>
  <cp:lastModifiedBy>Stagg, Larry</cp:lastModifiedBy>
  <dcterms:created xsi:type="dcterms:W3CDTF">2022-04-27T19:17:28Z</dcterms:created>
  <dcterms:modified xsi:type="dcterms:W3CDTF">2022-05-10T13:30:02Z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0x0101002AB8F56F0E2BDD4DAA18BC300C211392</vt:lpwstr>
  </property>
</Properties>
</file>