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oak\OAKMKT\Jobs\Larrys Jobs\Duraflo 2025\Duraflo Price Lists 2025\"/>
    </mc:Choice>
  </mc:AlternateContent>
  <xr:revisionPtr revIDLastSave="0" documentId="8_{340C3A85-174E-42B1-8291-72EF02BFDFCB}" xr6:coauthVersionLast="47" xr6:coauthVersionMax="47" xr10:uidLastSave="{00000000-0000-0000-0000-000000000000}"/>
  <bookViews>
    <workbookView xWindow="1908" yWindow="1308" windowWidth="23040" windowHeight="11892" xr2:uid="{00000000-000D-0000-FFFF-FFFF00000000}"/>
  </bookViews>
  <sheets>
    <sheet name="USVENT010124" sheetId="1" r:id="rId1"/>
  </sheets>
  <calcPr calcId="191029" calcOnSave="0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" l="1"/>
  <c r="I2" i="1"/>
  <c r="B3" i="1"/>
  <c r="I3" i="1"/>
  <c r="B4" i="1"/>
  <c r="I4" i="1"/>
  <c r="B5" i="1"/>
  <c r="I5" i="1"/>
  <c r="B6" i="1"/>
  <c r="I6" i="1"/>
  <c r="B7" i="1"/>
  <c r="I7" i="1"/>
  <c r="B8" i="1"/>
  <c r="I8" i="1"/>
  <c r="B9" i="1"/>
  <c r="I9" i="1"/>
  <c r="B10" i="1"/>
  <c r="I10" i="1"/>
  <c r="B11" i="1"/>
  <c r="I11" i="1"/>
  <c r="B12" i="1"/>
  <c r="I12" i="1"/>
  <c r="B13" i="1"/>
  <c r="I13" i="1"/>
  <c r="B14" i="1"/>
  <c r="I14" i="1"/>
  <c r="B15" i="1"/>
  <c r="I15" i="1"/>
  <c r="B16" i="1"/>
  <c r="I16" i="1"/>
  <c r="B17" i="1"/>
  <c r="I17" i="1"/>
  <c r="B18" i="1"/>
  <c r="I18" i="1"/>
  <c r="B19" i="1"/>
  <c r="I19" i="1"/>
  <c r="B20" i="1"/>
  <c r="I20" i="1"/>
  <c r="B21" i="1"/>
  <c r="I21" i="1"/>
  <c r="B22" i="1"/>
  <c r="I22" i="1"/>
  <c r="B23" i="1"/>
  <c r="I23" i="1"/>
  <c r="B24" i="1"/>
  <c r="I24" i="1"/>
  <c r="B25" i="1"/>
  <c r="I25" i="1"/>
  <c r="B26" i="1"/>
  <c r="I26" i="1"/>
  <c r="B27" i="1"/>
  <c r="I27" i="1"/>
  <c r="B28" i="1"/>
  <c r="I28" i="1"/>
  <c r="B29" i="1"/>
  <c r="I29" i="1"/>
  <c r="B30" i="1"/>
  <c r="I30" i="1"/>
  <c r="B31" i="1"/>
  <c r="I31" i="1"/>
  <c r="B32" i="1"/>
  <c r="I32" i="1"/>
  <c r="B33" i="1"/>
  <c r="I33" i="1"/>
  <c r="B34" i="1"/>
  <c r="I34" i="1"/>
  <c r="B35" i="1"/>
  <c r="I35" i="1"/>
  <c r="B36" i="1"/>
  <c r="I36" i="1"/>
  <c r="B37" i="1"/>
  <c r="I37" i="1"/>
  <c r="B38" i="1"/>
  <c r="I38" i="1"/>
  <c r="B39" i="1"/>
  <c r="I39" i="1"/>
  <c r="B40" i="1"/>
  <c r="I40" i="1"/>
  <c r="B41" i="1"/>
  <c r="I41" i="1"/>
  <c r="B42" i="1"/>
  <c r="I42" i="1"/>
  <c r="B43" i="1"/>
  <c r="I43" i="1"/>
  <c r="B44" i="1"/>
  <c r="I44" i="1"/>
  <c r="B45" i="1"/>
  <c r="I45" i="1"/>
  <c r="B46" i="1"/>
  <c r="I46" i="1"/>
  <c r="B47" i="1"/>
  <c r="I47" i="1"/>
  <c r="B48" i="1"/>
  <c r="I48" i="1"/>
  <c r="B49" i="1"/>
  <c r="I49" i="1"/>
  <c r="B50" i="1"/>
  <c r="I50" i="1"/>
  <c r="B51" i="1"/>
  <c r="I51" i="1"/>
  <c r="B52" i="1"/>
  <c r="I52" i="1"/>
  <c r="B53" i="1"/>
  <c r="I53" i="1"/>
  <c r="B54" i="1"/>
  <c r="I54" i="1"/>
  <c r="B55" i="1"/>
  <c r="I55" i="1"/>
  <c r="B56" i="1"/>
  <c r="I56" i="1"/>
  <c r="B57" i="1"/>
  <c r="I57" i="1"/>
  <c r="B58" i="1"/>
  <c r="I58" i="1"/>
  <c r="B59" i="1"/>
  <c r="I59" i="1"/>
  <c r="B60" i="1"/>
  <c r="I60" i="1"/>
  <c r="B61" i="1"/>
  <c r="I61" i="1"/>
  <c r="B62" i="1"/>
  <c r="I62" i="1"/>
  <c r="B63" i="1"/>
  <c r="I63" i="1"/>
  <c r="B64" i="1"/>
  <c r="I64" i="1"/>
  <c r="B65" i="1"/>
  <c r="I65" i="1"/>
  <c r="B66" i="1"/>
  <c r="I66" i="1"/>
  <c r="B67" i="1"/>
  <c r="I67" i="1"/>
  <c r="B68" i="1"/>
  <c r="I68" i="1"/>
  <c r="B69" i="1"/>
  <c r="I69" i="1"/>
  <c r="B70" i="1"/>
  <c r="I70" i="1"/>
  <c r="B71" i="1"/>
  <c r="I71" i="1"/>
  <c r="B72" i="1"/>
  <c r="I72" i="1"/>
  <c r="B73" i="1"/>
  <c r="I73" i="1"/>
  <c r="B74" i="1"/>
  <c r="I74" i="1"/>
  <c r="B75" i="1"/>
  <c r="I75" i="1"/>
  <c r="B76" i="1"/>
  <c r="I76" i="1"/>
  <c r="B77" i="1"/>
  <c r="I77" i="1"/>
  <c r="B78" i="1"/>
  <c r="I78" i="1"/>
  <c r="B79" i="1"/>
  <c r="I79" i="1"/>
  <c r="B80" i="1"/>
  <c r="I80" i="1"/>
  <c r="B81" i="1"/>
  <c r="I81" i="1"/>
  <c r="B82" i="1"/>
  <c r="I82" i="1"/>
  <c r="B83" i="1"/>
  <c r="I83" i="1"/>
  <c r="B84" i="1"/>
  <c r="I84" i="1"/>
  <c r="B85" i="1"/>
  <c r="I85" i="1"/>
  <c r="B86" i="1"/>
  <c r="I86" i="1"/>
  <c r="B87" i="1"/>
  <c r="I87" i="1"/>
  <c r="B88" i="1"/>
  <c r="I88" i="1"/>
  <c r="B89" i="1"/>
  <c r="I89" i="1"/>
  <c r="B90" i="1"/>
  <c r="I90" i="1"/>
  <c r="B91" i="1"/>
  <c r="I91" i="1"/>
  <c r="B92" i="1"/>
  <c r="I92" i="1"/>
  <c r="B93" i="1"/>
  <c r="I93" i="1"/>
  <c r="B94" i="1"/>
  <c r="I94" i="1"/>
  <c r="B95" i="1"/>
  <c r="I95" i="1"/>
  <c r="B96" i="1"/>
  <c r="I96" i="1"/>
  <c r="B97" i="1"/>
  <c r="I97" i="1"/>
  <c r="B98" i="1"/>
  <c r="I98" i="1"/>
  <c r="B99" i="1"/>
  <c r="I99" i="1"/>
  <c r="B100" i="1"/>
  <c r="I100" i="1"/>
  <c r="B101" i="1"/>
  <c r="I101" i="1"/>
  <c r="B102" i="1"/>
  <c r="I102" i="1"/>
  <c r="B103" i="1"/>
  <c r="I103" i="1"/>
  <c r="B104" i="1"/>
  <c r="I104" i="1"/>
  <c r="B105" i="1"/>
  <c r="I105" i="1"/>
  <c r="B106" i="1"/>
  <c r="I106" i="1"/>
  <c r="B107" i="1"/>
  <c r="I107" i="1"/>
  <c r="B108" i="1"/>
  <c r="I108" i="1"/>
  <c r="B109" i="1"/>
  <c r="I109" i="1"/>
  <c r="B110" i="1"/>
  <c r="I110" i="1"/>
  <c r="B111" i="1"/>
  <c r="I111" i="1"/>
  <c r="B112" i="1"/>
  <c r="I112" i="1"/>
  <c r="B113" i="1"/>
  <c r="I113" i="1"/>
  <c r="B114" i="1"/>
  <c r="I114" i="1"/>
  <c r="B115" i="1"/>
  <c r="I115" i="1"/>
  <c r="B116" i="1"/>
  <c r="I116" i="1"/>
  <c r="B117" i="1"/>
  <c r="I117" i="1"/>
  <c r="B118" i="1"/>
  <c r="I118" i="1"/>
  <c r="B119" i="1"/>
  <c r="I119" i="1"/>
  <c r="B120" i="1"/>
  <c r="I120" i="1"/>
  <c r="B121" i="1"/>
  <c r="I121" i="1"/>
  <c r="B122" i="1"/>
  <c r="I122" i="1"/>
  <c r="B123" i="1"/>
  <c r="I123" i="1"/>
  <c r="B124" i="1"/>
  <c r="I124" i="1"/>
  <c r="B125" i="1"/>
  <c r="I125" i="1"/>
  <c r="B126" i="1"/>
  <c r="I126" i="1"/>
  <c r="B127" i="1"/>
  <c r="I127" i="1"/>
  <c r="B128" i="1"/>
  <c r="I128" i="1"/>
  <c r="B129" i="1"/>
  <c r="I129" i="1"/>
  <c r="B130" i="1"/>
  <c r="I130" i="1"/>
  <c r="B131" i="1"/>
  <c r="I131" i="1"/>
  <c r="B132" i="1"/>
  <c r="I132" i="1"/>
  <c r="B133" i="1"/>
  <c r="I133" i="1"/>
  <c r="B134" i="1"/>
  <c r="I134" i="1"/>
  <c r="B135" i="1"/>
  <c r="I135" i="1"/>
  <c r="B136" i="1"/>
  <c r="I136" i="1"/>
  <c r="B137" i="1"/>
  <c r="I137" i="1"/>
  <c r="B138" i="1"/>
  <c r="I138" i="1"/>
  <c r="B139" i="1"/>
  <c r="I139" i="1"/>
  <c r="B140" i="1"/>
  <c r="I140" i="1"/>
  <c r="B141" i="1"/>
  <c r="I141" i="1"/>
  <c r="B142" i="1"/>
  <c r="I142" i="1"/>
  <c r="B143" i="1"/>
  <c r="I143" i="1"/>
  <c r="B144" i="1"/>
  <c r="I144" i="1"/>
  <c r="B145" i="1"/>
  <c r="I145" i="1"/>
  <c r="B146" i="1"/>
  <c r="I146" i="1"/>
  <c r="B147" i="1"/>
  <c r="I147" i="1"/>
  <c r="B148" i="1"/>
  <c r="I148" i="1"/>
  <c r="B149" i="1"/>
  <c r="I149" i="1"/>
  <c r="B150" i="1"/>
  <c r="I150" i="1"/>
  <c r="B151" i="1"/>
  <c r="I151" i="1"/>
  <c r="B152" i="1"/>
  <c r="I152" i="1"/>
  <c r="B153" i="1"/>
  <c r="I153" i="1"/>
  <c r="B154" i="1"/>
  <c r="I154" i="1"/>
  <c r="B155" i="1"/>
  <c r="I155" i="1"/>
  <c r="B156" i="1"/>
  <c r="I156" i="1"/>
  <c r="B157" i="1"/>
  <c r="I157" i="1"/>
  <c r="B158" i="1"/>
  <c r="I158" i="1"/>
  <c r="B159" i="1"/>
  <c r="I159" i="1"/>
  <c r="B160" i="1"/>
  <c r="I160" i="1"/>
  <c r="B161" i="1"/>
  <c r="I161" i="1"/>
  <c r="B162" i="1"/>
  <c r="I162" i="1"/>
  <c r="B163" i="1"/>
  <c r="I163" i="1"/>
  <c r="B164" i="1"/>
  <c r="I164" i="1"/>
  <c r="B165" i="1"/>
  <c r="I165" i="1"/>
  <c r="B166" i="1"/>
  <c r="I166" i="1"/>
  <c r="B167" i="1"/>
  <c r="I167" i="1"/>
  <c r="B168" i="1"/>
  <c r="I168" i="1"/>
  <c r="B169" i="1"/>
  <c r="I169" i="1"/>
  <c r="B170" i="1"/>
  <c r="I170" i="1"/>
  <c r="B171" i="1"/>
  <c r="I171" i="1"/>
  <c r="B172" i="1"/>
  <c r="I172" i="1"/>
  <c r="B173" i="1"/>
  <c r="I173" i="1"/>
  <c r="B174" i="1"/>
  <c r="I174" i="1"/>
  <c r="B175" i="1"/>
  <c r="I175" i="1"/>
  <c r="B176" i="1"/>
  <c r="I176" i="1"/>
  <c r="B177" i="1"/>
  <c r="I177" i="1"/>
  <c r="B178" i="1"/>
  <c r="I178" i="1"/>
  <c r="B179" i="1"/>
  <c r="I179" i="1"/>
  <c r="B180" i="1"/>
  <c r="I180" i="1"/>
  <c r="B181" i="1"/>
  <c r="I181" i="1"/>
  <c r="B182" i="1"/>
  <c r="I182" i="1"/>
  <c r="B183" i="1"/>
  <c r="I183" i="1"/>
  <c r="B184" i="1"/>
  <c r="I184" i="1"/>
  <c r="B185" i="1"/>
  <c r="I185" i="1"/>
  <c r="B186" i="1"/>
  <c r="I186" i="1"/>
  <c r="B187" i="1"/>
  <c r="I187" i="1"/>
  <c r="B188" i="1"/>
  <c r="I188" i="1"/>
  <c r="B189" i="1"/>
  <c r="I189" i="1"/>
  <c r="B190" i="1"/>
  <c r="I190" i="1"/>
  <c r="B191" i="1"/>
  <c r="I191" i="1"/>
  <c r="B192" i="1"/>
  <c r="I192" i="1"/>
  <c r="B193" i="1"/>
  <c r="I193" i="1"/>
  <c r="B194" i="1"/>
  <c r="I194" i="1"/>
  <c r="B195" i="1"/>
  <c r="I195" i="1"/>
  <c r="B196" i="1"/>
  <c r="I196" i="1"/>
  <c r="B197" i="1"/>
  <c r="I197" i="1"/>
  <c r="B198" i="1"/>
  <c r="I198" i="1"/>
  <c r="B199" i="1"/>
  <c r="I199" i="1"/>
  <c r="B200" i="1"/>
  <c r="I200" i="1"/>
  <c r="B201" i="1"/>
  <c r="I201" i="1"/>
  <c r="B202" i="1"/>
  <c r="I202" i="1"/>
  <c r="B203" i="1"/>
  <c r="I203" i="1"/>
  <c r="B204" i="1"/>
  <c r="I204" i="1"/>
  <c r="B205" i="1"/>
  <c r="I205" i="1"/>
  <c r="B206" i="1"/>
  <c r="I206" i="1"/>
  <c r="B207" i="1"/>
  <c r="I207" i="1"/>
  <c r="B208" i="1"/>
  <c r="I208" i="1"/>
  <c r="B209" i="1"/>
  <c r="I209" i="1"/>
  <c r="B210" i="1"/>
  <c r="I210" i="1"/>
  <c r="B211" i="1"/>
  <c r="I211" i="1"/>
  <c r="B212" i="1"/>
  <c r="I212" i="1"/>
  <c r="B213" i="1"/>
  <c r="I213" i="1"/>
  <c r="B214" i="1"/>
  <c r="I214" i="1"/>
  <c r="B215" i="1"/>
  <c r="I215" i="1"/>
  <c r="B216" i="1"/>
  <c r="I216" i="1"/>
  <c r="B217" i="1"/>
  <c r="I217" i="1"/>
  <c r="B218" i="1"/>
  <c r="I218" i="1"/>
  <c r="B219" i="1"/>
  <c r="I219" i="1"/>
  <c r="B220" i="1"/>
  <c r="I220" i="1"/>
  <c r="B221" i="1"/>
  <c r="I221" i="1"/>
  <c r="B222" i="1"/>
  <c r="I222" i="1"/>
  <c r="B223" i="1"/>
  <c r="I223" i="1"/>
  <c r="B224" i="1"/>
  <c r="I224" i="1"/>
  <c r="B225" i="1"/>
  <c r="I225" i="1"/>
  <c r="B226" i="1"/>
  <c r="I226" i="1"/>
  <c r="B227" i="1"/>
  <c r="I227" i="1"/>
  <c r="B228" i="1"/>
  <c r="I228" i="1"/>
  <c r="B229" i="1"/>
  <c r="I229" i="1"/>
  <c r="B230" i="1"/>
  <c r="I230" i="1"/>
  <c r="B231" i="1"/>
  <c r="I231" i="1"/>
  <c r="B232" i="1"/>
  <c r="I232" i="1"/>
</calcChain>
</file>

<file path=xl/sharedStrings.xml><?xml version="1.0" encoding="utf-8"?>
<sst xmlns="http://schemas.openxmlformats.org/spreadsheetml/2006/main" count="690" uniqueCount="459">
  <si>
    <t>UPC-Code</t>
  </si>
  <si>
    <t>CANPLAS Code</t>
  </si>
  <si>
    <t>Prod-Desc</t>
  </si>
  <si>
    <t>List Price</t>
  </si>
  <si>
    <t>Eff-Date</t>
  </si>
  <si>
    <t>Unit Wght Kgs</t>
  </si>
  <si>
    <t>Unit Wght Lbs</t>
  </si>
  <si>
    <t>Ctn Bar-Code</t>
  </si>
  <si>
    <t>Ctn Qty</t>
  </si>
  <si>
    <t>Skid Qty</t>
  </si>
  <si>
    <t>USVENT010124</t>
  </si>
  <si>
    <t>60PRO50BL</t>
  </si>
  <si>
    <t>60PRO50BL PP PRO50 ROOF VENT 50 SQ IN BLK DURAFLO</t>
  </si>
  <si>
    <t>60PRO50BR</t>
  </si>
  <si>
    <t>60PRO50BR PP PRO50 ROOF VENT 50 SQ IN BRN DURAFLO</t>
  </si>
  <si>
    <t>60PRO50G</t>
  </si>
  <si>
    <t>60PRO50G PP PRO50 ROOF VENT 50 SQ IN GRAY DURAFLO</t>
  </si>
  <si>
    <t>60PRO50WW</t>
  </si>
  <si>
    <t>60PRO50WW PP PRO50 ROOF VENT 50 SQ IN WW DURAFLO</t>
  </si>
  <si>
    <t>60PRO75BL</t>
  </si>
  <si>
    <t>60PRO75BL PP PRO75 ROOF VENT 75 SQ IN BLK DURAFLO</t>
  </si>
  <si>
    <t>60PRO75BR</t>
  </si>
  <si>
    <t>60PRO75BR PP PRO75 ROOF VENT 75 SQ IN BRN DURAFLO</t>
  </si>
  <si>
    <t>60PRO75G</t>
  </si>
  <si>
    <t>60PRO75G PP PRO75 ROOF VENT 75 SQ IN GRAY DURAFLO</t>
  </si>
  <si>
    <t>60PRO75WW</t>
  </si>
  <si>
    <t>60PRO75WW PP PRO75 ROOF VENT 75 SQ IN WW DURAFLO</t>
  </si>
  <si>
    <t>60PRO50SLBL</t>
  </si>
  <si>
    <t>60PRO50SLBL PP PROSLANTBACK ROOF VENT50 SQ IN BLK DURAFLO</t>
  </si>
  <si>
    <t>60PRO50SLBR</t>
  </si>
  <si>
    <t>60PRO50SLBR PP PROSLANTBACK ROOF VENT50 SQ IN BRN DURAFLO</t>
  </si>
  <si>
    <t>60PRO50SLG</t>
  </si>
  <si>
    <t>60PRO50SLG PP PROSLANTBACK ROOF VENT50 SQ IN GRAY DURAFLO</t>
  </si>
  <si>
    <t>60PRO50SLWW</t>
  </si>
  <si>
    <t>60PRO50SLWW PP PROSLANTBACK ROOF VENT50 SQ IN WW DURAFLO</t>
  </si>
  <si>
    <t>6050BL</t>
  </si>
  <si>
    <t>6050BL PP SQUARE TOP ROOF VENT 50 SQ IN BLK DURAFLO</t>
  </si>
  <si>
    <t>6050BR</t>
  </si>
  <si>
    <t>6050BR PP SQUARE TOP ROOF VENT 50 SQ IN BRN DURAFLO</t>
  </si>
  <si>
    <t>6050G</t>
  </si>
  <si>
    <t>6050G PP SQUARE TOP ROOF VENT 50 SQ IN GRAY DURAFLO</t>
  </si>
  <si>
    <t>6050WW</t>
  </si>
  <si>
    <t>6050WW PP SQUARE TOP ROOF VENT 50 SQ IN WW DURAFLO</t>
  </si>
  <si>
    <t>6075BL</t>
  </si>
  <si>
    <t>6075BL PP SQUARE TOP ROOF VENT 75 SQ IN BLK DURAFLO</t>
  </si>
  <si>
    <t>6075BR</t>
  </si>
  <si>
    <t>6075BR PP SQUARE TOP ROOF VENT 75 SQ IN BRN DURAFLO</t>
  </si>
  <si>
    <t>6075G</t>
  </si>
  <si>
    <t>6075G PP SQUARE TOP ROOF VENT 75 SQ IN GRAY DURAFLO</t>
  </si>
  <si>
    <t>6075WW</t>
  </si>
  <si>
    <t>6075WW PP SQUARE TOP ROOF VENT 75 SQ IN WW DURAFLO</t>
  </si>
  <si>
    <t>6065BL</t>
  </si>
  <si>
    <t>6065BL PP SLANTBACK ROOF VENT 61SQ IN BLK DURAFLO</t>
  </si>
  <si>
    <t>6065BR</t>
  </si>
  <si>
    <t>6065BR PP SLANTBACK ROOF VENT 61SQ IN BRN DURAFLO</t>
  </si>
  <si>
    <t>6065G</t>
  </si>
  <si>
    <t>6065G PP SLANTBACK ROOF VENT 61SQ IN GRAY DURAFLO</t>
  </si>
  <si>
    <t>6065WW</t>
  </si>
  <si>
    <t>6065WW PP SLANTBACK ROOF VENT 61SQ IN WW DURAFLO</t>
  </si>
  <si>
    <t>551222BL</t>
  </si>
  <si>
    <t>551222BL PP STRETCHFIT ROOF FLASHING 1 1/2 -2" BLK</t>
  </si>
  <si>
    <t>551222BR</t>
  </si>
  <si>
    <t>551222BR PP STRETCHFIT ROOF FLASHING 1 1/2 -2" BRN</t>
  </si>
  <si>
    <t>551222G</t>
  </si>
  <si>
    <t>551222G PP STRETCHFIT ROOF FLASHING 1 1/2 -2" GRAY</t>
  </si>
  <si>
    <t>551224BL</t>
  </si>
  <si>
    <t>551224BL PP STRETCHFIT ROOF FLASHING 3 -4" BLK</t>
  </si>
  <si>
    <t>551224BR</t>
  </si>
  <si>
    <t>551224BR PP STRETCHFIT ROOF FLASHING 3 -4" BRN</t>
  </si>
  <si>
    <t>551224G</t>
  </si>
  <si>
    <t>551224G PP STRETCHFIT ROOF FLASHING 3 -4" GRAY</t>
  </si>
  <si>
    <t>551224WW</t>
  </si>
  <si>
    <t>551224WW PP STRETCHFIT ROOF FLASHING 3 -4" WW DURAFLO</t>
  </si>
  <si>
    <t>6020BL</t>
  </si>
  <si>
    <t>6020BL PP RANGEHOOD EXH VENT W/ ADAPTER COLLAR BLK</t>
  </si>
  <si>
    <t>6020BR</t>
  </si>
  <si>
    <t>6020BR PP RANGEHOOD EXH VENT W/ ADAPTER COLLAR BRN</t>
  </si>
  <si>
    <t>6014BL</t>
  </si>
  <si>
    <t>6014BL PP DRYER &amp; BATHROOM EXH VENT BLK DURAFLO</t>
  </si>
  <si>
    <t>6014BR</t>
  </si>
  <si>
    <t>6014BR PP DRYER &amp; BATHROOM EXH VENT BRN DURAFLO</t>
  </si>
  <si>
    <t>6014WW</t>
  </si>
  <si>
    <t>6014WW PP DRYER &amp; BATHROOM EXH VENT WW DURAFLO</t>
  </si>
  <si>
    <t>60RVA20US</t>
  </si>
  <si>
    <t>60RVA20US PP RIDGE ROLL 20'L X 10.5"W FILTER BLK DURAFLO</t>
  </si>
  <si>
    <t>6073BL</t>
  </si>
  <si>
    <t>6073BL PP IMPERIAL PRORIDGE VENTBLK DURAFLO</t>
  </si>
  <si>
    <t>5950C</t>
  </si>
  <si>
    <t>5950C PP SHEDLIGHT ROOF VENT 50SQ IN TRANSLUCENT DURAFLO</t>
  </si>
  <si>
    <t>5975C</t>
  </si>
  <si>
    <t>5975C PP SHEDLIGHT ROOF VENT 75SQ IN TRANSLUCENT DURAFLO</t>
  </si>
  <si>
    <t>5975B</t>
  </si>
  <si>
    <t>5975B PP SHEDLIGHT ROOF VENT 75SQ IN TRANSLUCENT DURAFLO</t>
  </si>
  <si>
    <t>5503 O GUARD PP ROOF FLASHING SEAL PROTECTOR 3" BLK</t>
  </si>
  <si>
    <t>5511930 PP HIGH-RISE ROOF FLASHING 1 1/2 -3" BLK</t>
  </si>
  <si>
    <t>5511931 PP HIGH-RISE ROOF FLASHING 3 -4" BLK</t>
  </si>
  <si>
    <t>551142BL</t>
  </si>
  <si>
    <t>551142BL PP FLEXIBLE ROOF FLASHING2" BLK DURAFLO</t>
  </si>
  <si>
    <t>551143BL</t>
  </si>
  <si>
    <t>551143BL PP FLEXIBLE ROOF FLASHING3" BLK DURAFLO</t>
  </si>
  <si>
    <t>551144BL</t>
  </si>
  <si>
    <t>551144BL PP FLEXIBLE ROOF FLASHING4" BLK DURAFLO</t>
  </si>
  <si>
    <t>551201BL</t>
  </si>
  <si>
    <t>551201BL PP ROOF FLASHING 1 1/2" BLK DURAFLO</t>
  </si>
  <si>
    <t>551202BL</t>
  </si>
  <si>
    <t>551202BL PP ROOF FLASHING 2" BLK DURAFLO</t>
  </si>
  <si>
    <t>551203BL</t>
  </si>
  <si>
    <t>551203BL PP ROOF FLASHING 3" BLK DURAFLO</t>
  </si>
  <si>
    <t>551203WW</t>
  </si>
  <si>
    <t>551203WW PP ROOF FLASHING 3" WW DURAFLO</t>
  </si>
  <si>
    <t>551204BL</t>
  </si>
  <si>
    <t>551204BL PP ROOF FLASHING 4" BLK DURAFLO</t>
  </si>
  <si>
    <t>551222WW</t>
  </si>
  <si>
    <t>551222WW PP STRETCHFIT ROOF FLASHING 1 1/2 -2" WW</t>
  </si>
  <si>
    <t>551233BL</t>
  </si>
  <si>
    <t>551233BL PP MULTIPLE SIZE ROOF FLASHING 1 1/2 -3" BLK</t>
  </si>
  <si>
    <t>551233BULKBL</t>
  </si>
  <si>
    <t>551233BULKBL PP MULTIPLE SIZE ROOF FLASHING 1 1/2 -3" BLK</t>
  </si>
  <si>
    <t>551233WW</t>
  </si>
  <si>
    <t>551233WW PP MULTIPLE SIZE ROOF FLASHING 1 1/2 -3" WW</t>
  </si>
  <si>
    <t>551244BL</t>
  </si>
  <si>
    <t>551244BL PP MULTIPLE SIZE 5 IN 1 ROOF FLASHING 1 1/4-4"</t>
  </si>
  <si>
    <t>6001BL</t>
  </si>
  <si>
    <t>6001BL PP PROTURBO TURBINE BALL REPL BLK DURAFLO</t>
  </si>
  <si>
    <t>6001BR</t>
  </si>
  <si>
    <t>6001BR PP PROTURBO TURBINE BALL REPL BRN DURAFLO</t>
  </si>
  <si>
    <t>6001G</t>
  </si>
  <si>
    <t>6001G PP PROTURBO TURBINE BALL REPL GRAY DURAFLO</t>
  </si>
  <si>
    <t>6001WW</t>
  </si>
  <si>
    <t>6001WW PP PROTURBO TURBINE BALL REPL WW DURAFLO</t>
  </si>
  <si>
    <t>6010-1BC</t>
  </si>
  <si>
    <t>6010-1BC PP EXH VENT COLLAR BLK DURAFLO</t>
  </si>
  <si>
    <t>6015BL</t>
  </si>
  <si>
    <t>6015BL PP DRYER &amp; BATHROOM EXH VENT NO COLLAR BLK</t>
  </si>
  <si>
    <t>6015BR</t>
  </si>
  <si>
    <t>6015BR PP DRYER &amp; BATHROOM EXH VENT NO COLLAR BRN</t>
  </si>
  <si>
    <t>6015WW</t>
  </si>
  <si>
    <t>6015WW PP DRYER &amp; BATHROOM EXH VENT NO COLLAR WW DURAFLO</t>
  </si>
  <si>
    <t>6021-4BC</t>
  </si>
  <si>
    <t>6021-4BC PP RANGEHOOD EXH VENT ADAPTER COLLAR BLK</t>
  </si>
  <si>
    <t>6025BL</t>
  </si>
  <si>
    <t>6025BL PP PLASTIC RIDGE ROLL BLKDURAFLO</t>
  </si>
  <si>
    <t>6025BLF</t>
  </si>
  <si>
    <t>6025BLF PP PLASTIC RIDGE ROLL FILTER BLK DURAFLO</t>
  </si>
  <si>
    <t>6030-4BC</t>
  </si>
  <si>
    <t>6030-4BC PP ADAPTER COLLAR 4, 5, 6IN BLK DURAFLO</t>
  </si>
  <si>
    <t>6032BL</t>
  </si>
  <si>
    <t>6032BL GOOSENECK PP ROOF DRYER EXH VENT W / COLLAR BLK</t>
  </si>
  <si>
    <t>6032BR</t>
  </si>
  <si>
    <t>6032BR GOOSENECK PP ROOF DRYER EXH VENT W / COLLAR BRN</t>
  </si>
  <si>
    <t>6033BL</t>
  </si>
  <si>
    <t>6033BL GOOSENECK PP ROOF DRYER EXH VENT BLK DURAFLO</t>
  </si>
  <si>
    <t>6033BR</t>
  </si>
  <si>
    <t>6033BR GOOSENECK PP ROOF DRYER EXH VENT BRN DURAFLO</t>
  </si>
  <si>
    <t>6035BL</t>
  </si>
  <si>
    <t>6035BL PP ADAPTER COLLAR W/ FLAPPER BLK DURAFLO</t>
  </si>
  <si>
    <t>6050TBL-</t>
  </si>
  <si>
    <t>6050TBL-PP TALL ROOF VENT50 SQ IN BLK DURAFLO</t>
  </si>
  <si>
    <t>6050TBR-</t>
  </si>
  <si>
    <t>6050TBR-PP TALL ROOF VENT50 SQ IN BRN DURAFLO</t>
  </si>
  <si>
    <t>6050TG-</t>
  </si>
  <si>
    <t>6050TG-PP TALL ROOF VENT 50 SQ IN GRAY DURAFLO</t>
  </si>
  <si>
    <t>6050TWW-</t>
  </si>
  <si>
    <t>6050TWW-PP TALL ROOF VENT50 SQ IN WW DURAFLO</t>
  </si>
  <si>
    <t>6059BL</t>
  </si>
  <si>
    <t>6059BL PP SOLID RIDGE VENT METRIC BLK DURAFLO</t>
  </si>
  <si>
    <t>6094BL</t>
  </si>
  <si>
    <t>6094BL PP SOLID PRORIDGE VENT 12" BLK DURAFLO</t>
  </si>
  <si>
    <t>60PRO117BL</t>
  </si>
  <si>
    <t>60PRO117BL PP PROTURBO 117 SQ IN BLKDURAFLO</t>
  </si>
  <si>
    <t>60PRO117BR</t>
  </si>
  <si>
    <t>60PRO117BR PP PROTURBO 117 SQ IN BRNDURAFLO</t>
  </si>
  <si>
    <t>60PRO117G</t>
  </si>
  <si>
    <t>60PRO117G PP PROTURBO 117 SQ IN GRAY DURAFLO</t>
  </si>
  <si>
    <t>60PRO117WW</t>
  </si>
  <si>
    <t>60PRO117WW PP PROTURBO 117 SQ IN WW DURAFLO</t>
  </si>
  <si>
    <t>60PRO130BL</t>
  </si>
  <si>
    <t>60PRO130BL PP PROVENTILATOR 48 SQ INBLK DURAFLO</t>
  </si>
  <si>
    <t>60PRO130BR</t>
  </si>
  <si>
    <t>60PRO130BR PP PROVENTILATOR 48 SQ INBRN DURAFLO</t>
  </si>
  <si>
    <t>60PRO130G</t>
  </si>
  <si>
    <t>60PRO130G PP PROVENTILATOR 48 SQ INGRAY DURAFLO</t>
  </si>
  <si>
    <t>60PRO130WW</t>
  </si>
  <si>
    <t>60PRO130WW PP PROVENTILATOR 48 SQ INWW DURAFLO</t>
  </si>
  <si>
    <t>60PRO140BL</t>
  </si>
  <si>
    <t>60PRO140BL PP PROVENTILATOR 95 SQ INBLK DURAFLO</t>
  </si>
  <si>
    <t>60PRO140BR</t>
  </si>
  <si>
    <t>60PRO140BR PP PROVENTILATOR 95 SQ INBRN DURAFLO</t>
  </si>
  <si>
    <t>60PRO140G</t>
  </si>
  <si>
    <t>60PRO140G PP PROVENTILATOR 95 SQ INGRAY DURAFLO</t>
  </si>
  <si>
    <t>60PRO140WW</t>
  </si>
  <si>
    <t>60PRO140WW PP PROVENTILATOR 95 SQ INWW DURAFLO</t>
  </si>
  <si>
    <t>60PRO150BL</t>
  </si>
  <si>
    <t>60PRO150BL PP PROVENTILATOR 130 SQ IN BLK DURAFLO</t>
  </si>
  <si>
    <t>60PRO150BR</t>
  </si>
  <si>
    <t>60PRO150BR PP PROVENTILATOR 130 SQ IN BRN DURAFLO</t>
  </si>
  <si>
    <t>60PRO150G</t>
  </si>
  <si>
    <t>60PRO150G PP PROVENTILATOR 130 SQ IN GRAY DURAFLO</t>
  </si>
  <si>
    <t>60PRO150WW</t>
  </si>
  <si>
    <t>60PRO150WW PP PROVENTILATOR 130 SQ IN WW DURAFLO</t>
  </si>
  <si>
    <t>60PRO30BL</t>
  </si>
  <si>
    <t>60PRO30BL GOOSENECK PP BATHROOM EXHVENT W / COLLAR BLK</t>
  </si>
  <si>
    <t>60PRO30BR</t>
  </si>
  <si>
    <t>60PRO30BR GOOSENECK PP BATHROOM EXHVENT W / COLLAR BRN</t>
  </si>
  <si>
    <t>60PRO31BL</t>
  </si>
  <si>
    <t>60PRO31BL GOOSENECK PP BATHROOM EXHVENT BLK DURAFLO</t>
  </si>
  <si>
    <t>60PRO31BR</t>
  </si>
  <si>
    <t>60PRO31BR GOOSENECK PP BATHROOM EXHVENT BRN DURAFLO</t>
  </si>
  <si>
    <t>60RVA208</t>
  </si>
  <si>
    <t>60RVA208 PP RIDGE ROLL 20'L X 8"W FILTER BLK DURAFLO</t>
  </si>
  <si>
    <t>60RVA20MET</t>
  </si>
  <si>
    <t>60RVA20MET PP RIDGE ROLL 20'L X 11.5"W FILTER BLK DURAFLO</t>
  </si>
  <si>
    <t>61PML101</t>
  </si>
  <si>
    <t>61PML101 PLASTIC ROUND MINI LOUVER1" WHT DURAFLO</t>
  </si>
  <si>
    <t>61PML151</t>
  </si>
  <si>
    <t>61PML151 PLASTIC ROUND MINI LOUVER1 1/2" WHT DURAFLO</t>
  </si>
  <si>
    <t>61PML201</t>
  </si>
  <si>
    <t>61PML201 PLASTIC ROUND MINI LOUVER2" WHT DURAFLO</t>
  </si>
  <si>
    <t>61PML201BL</t>
  </si>
  <si>
    <t>61PML201BL PLASTIC ROUND MINI LOUVER2" BLK DURAFLO</t>
  </si>
  <si>
    <t>61PML251</t>
  </si>
  <si>
    <t>61PML251 PLASTIC ROUND MINI LOUVER2 1/2" WHT DURAFLO</t>
  </si>
  <si>
    <t>61PML301</t>
  </si>
  <si>
    <t>61PML301 PLASTIC ROUND MINI LOUVER3" WHT DURAFLO</t>
  </si>
  <si>
    <t>61PML301BL</t>
  </si>
  <si>
    <t>61PML301BL PLASTIC ROUND MINI LOUVER3" BLK DURAFLO</t>
  </si>
  <si>
    <t>61PML401</t>
  </si>
  <si>
    <t>61PML401 PLASTIC ROUND MINI LOUVER4" WHT DURAFLO</t>
  </si>
  <si>
    <t>61PML401BL</t>
  </si>
  <si>
    <t>61PML401BL PLASTIC ROUND MINI LOUVER4" BLK DURAFLO</t>
  </si>
  <si>
    <t>61PML501</t>
  </si>
  <si>
    <t>61PML501 PLASTIC ROUND MINI LOUVER5" WHT DURAFLO</t>
  </si>
  <si>
    <t>61PML601</t>
  </si>
  <si>
    <t>61PML601 PLASTIC ROUND MINI LOUVER6" WHT DURAFLO</t>
  </si>
  <si>
    <t>61RAA10D</t>
  </si>
  <si>
    <t>61RAA10D ALUMINUM ROUND MINI LOUVER 1" MILL DURAFLO</t>
  </si>
  <si>
    <t>61RAA15D</t>
  </si>
  <si>
    <t>61RAA15D ALUMINUM ROUND MINI LOUVER 1 1/2" MILL</t>
  </si>
  <si>
    <t>61RAA20D</t>
  </si>
  <si>
    <t>61RAA20D ALUMINUM ROUND MINI LOUVER 2" MILL DURAFLO</t>
  </si>
  <si>
    <t>61RAA25D</t>
  </si>
  <si>
    <t>61RAA25D ALUMINUM ROUND MINI LOUVER 2 1/2" MILL</t>
  </si>
  <si>
    <t>61RAA30D</t>
  </si>
  <si>
    <t>61RAA30D ALUMINUM ROUND MINI LOUVER 3" MILL DURAFLO</t>
  </si>
  <si>
    <t>61RAA40D</t>
  </si>
  <si>
    <t>61RAA40D ALUMINUM ROUND MINI LOUVER 4" MILL DURAFLO</t>
  </si>
  <si>
    <t>61RAA60D</t>
  </si>
  <si>
    <t>61RAA60D ALUMINUM ROUND MINI LOUVER 6" MILL DURAFLO</t>
  </si>
  <si>
    <t>620808 PP SQUARE GABLE VENT 11 X10" STANDARD WHT DURAFLO</t>
  </si>
  <si>
    <t>620808BL</t>
  </si>
  <si>
    <t>620808BL PP SQUARE GABLE VENT 11 X10" STANDARD BLK DURAFLO</t>
  </si>
  <si>
    <t>620808COMB</t>
  </si>
  <si>
    <t>620808COMB PP RECT GABLE VENT 11 X 10" COMBINED WHT DURAFLO</t>
  </si>
  <si>
    <t>620808REC</t>
  </si>
  <si>
    <t>620808REC PP SQUARE GABLE VENT 11 X10" RECESSED WHT DURAFLO</t>
  </si>
  <si>
    <t>620812 PP RECT GABLE VENT 11 X 14" STANDARD WHT DURAFLO</t>
  </si>
  <si>
    <t>620812BL</t>
  </si>
  <si>
    <t>620812BL PP RECT GABLE VENT 11 X 14" STANDARD BLK DURAFLO</t>
  </si>
  <si>
    <t>620812COMB</t>
  </si>
  <si>
    <t>620812COMB PP RECT GABLE VENT 11 X 14" COMBINED WHT DURAFLO</t>
  </si>
  <si>
    <t>620816 PP RECT GABLE VENT 11 X 18" STANDARD WHT DURAFLO</t>
  </si>
  <si>
    <t>621212 PP SQUARE GABLE VENT 15 X15" STANDARD WHT DURAFLO</t>
  </si>
  <si>
    <t>621212BL</t>
  </si>
  <si>
    <t>621212BL PP SQUARE GABLE VENT 15 X15" STANDARD BLK DURAFLO</t>
  </si>
  <si>
    <t>621212COMB</t>
  </si>
  <si>
    <t>621212COMB PP SQUARE GABLE VENT 15 X15" COMBINED WHT DURAFLO</t>
  </si>
  <si>
    <t>621212REC</t>
  </si>
  <si>
    <t>621212REC PP SQUARE GABLE VENT 15 X15" RECESSED WHT DURAFLO</t>
  </si>
  <si>
    <t>621218 PP RECT GABLE VENT 15 X 20 1/2" STANDARD WHT</t>
  </si>
  <si>
    <t>621218BL</t>
  </si>
  <si>
    <t>621218BL PP RECT GABLE VENT 15 X 20 1/2" STANDARD BLK</t>
  </si>
  <si>
    <t>626043-00</t>
  </si>
  <si>
    <t>626043-00 PP SQUARE GABLE VENT 15 X15" WHT DURAFLO</t>
  </si>
  <si>
    <t>626043-00B</t>
  </si>
  <si>
    <t>626043-00B PP SQUARE GABLE VENT 15 X15" BULK WHT DURAFLO</t>
  </si>
  <si>
    <t>626043-00BLB</t>
  </si>
  <si>
    <t>626043-00BLB PP SQUARE GABLE VENT 15 X15" BULK BLK DURAFLO</t>
  </si>
  <si>
    <t>626045-00</t>
  </si>
  <si>
    <t>626045-00 PP SQUARE GABLE VENT 17 X17" WHT DURAFLO</t>
  </si>
  <si>
    <t>626045-00B</t>
  </si>
  <si>
    <t>626045-00B PP SQUARE GABLE VENT 17 X17" BULK WHT DURAFLO</t>
  </si>
  <si>
    <t>626053-00</t>
  </si>
  <si>
    <t>626053-00 PP ROUND GABLE VENT 19" WHT DURAFLO</t>
  </si>
  <si>
    <t>626053-00B</t>
  </si>
  <si>
    <t>626053-00B PP ROUND GABLE VENT 19" BULK WHT DURAFLO</t>
  </si>
  <si>
    <t>626053-00BLB</t>
  </si>
  <si>
    <t>626053-00BLB PP ROUND GABLE VENT 19" BULK BLK DURAFLO</t>
  </si>
  <si>
    <t>626055-00</t>
  </si>
  <si>
    <t>626055-00 PP ROUND GABLE VENT 22" WHT DURAFLO</t>
  </si>
  <si>
    <t>626055-00B</t>
  </si>
  <si>
    <t>626055-00B PP ROUND GABLE VENT 22" BULK WHT DURAFLO</t>
  </si>
  <si>
    <t>626058-00</t>
  </si>
  <si>
    <t>626058-00 PP OCTAGON GABLE VENT 19"WHT DURAFLO</t>
  </si>
  <si>
    <t>626058-00B</t>
  </si>
  <si>
    <t>626058-00B PP OCTAGON GABLE VENT 19"BULK WHT DURAFLO</t>
  </si>
  <si>
    <t>626058-00BLB</t>
  </si>
  <si>
    <t>626058-00BLB PP OCTAGON GABLE VENT 19"BULK BLK DURAFLO</t>
  </si>
  <si>
    <t>626060-00</t>
  </si>
  <si>
    <t>626060-00 PP OCTAGON GABLE VENT 22"WHT DURAFLO</t>
  </si>
  <si>
    <t>626060-00B</t>
  </si>
  <si>
    <t>626060-00B PP OCTAGON GABLE VENT 22"BULK WHT DURAFLO</t>
  </si>
  <si>
    <t>626075-00</t>
  </si>
  <si>
    <t>626075-00 PP SMALL RECT GABLE VENT 15 X 21" WHT DURAFLO</t>
  </si>
  <si>
    <t>626075-00B</t>
  </si>
  <si>
    <t>626075-00B PP SMALL RECT GABLE VENT 15 X 21" BULK WHT DURAFLO</t>
  </si>
  <si>
    <t>626080-00</t>
  </si>
  <si>
    <t>626080-00 PP LARGE RECT GABLE VENT 17 X 23" WHT DURAFLO</t>
  </si>
  <si>
    <t>626080-00B</t>
  </si>
  <si>
    <t>626080-00B PP LARGE RECT GABLE VENT 17 X 23" BULK WHT DURAFLO</t>
  </si>
  <si>
    <t>626095-00</t>
  </si>
  <si>
    <t>626095-00 PP HALF MOON GABLE VENT 34 X 23" WHT DURAFLO</t>
  </si>
  <si>
    <t>626110-00</t>
  </si>
  <si>
    <t>626110-00 PP CATHEDRAL GABLE VENT 22 X 28" WHT DURAFLO</t>
  </si>
  <si>
    <t>626120-00</t>
  </si>
  <si>
    <t>626120-00 PP LARGE RECT GABLE VENT 22 X 28" WHT DURAFLO</t>
  </si>
  <si>
    <t>641000-00</t>
  </si>
  <si>
    <t>641000-00 PP MOUNTING BLOCK SCALLOPED WHT DURAFLO</t>
  </si>
  <si>
    <t>641000-00B</t>
  </si>
  <si>
    <t>641000-00B PP MOUNTING BLOCK SCALLOPED BULK WHT</t>
  </si>
  <si>
    <t>641000-00BLB</t>
  </si>
  <si>
    <t>641000-00BLB PP MOUNTING BLOCK SCALLOPED BULK BLK</t>
  </si>
  <si>
    <t>641010-00</t>
  </si>
  <si>
    <t>641010-00 PP DRYER VENT BLOCK W/SLVSCALLOPED WHT DURAFLO</t>
  </si>
  <si>
    <t>641010-00B</t>
  </si>
  <si>
    <t>641010-00B PP DRYER VENT BLOCK W/SLVSCALLOPED BULK WHT</t>
  </si>
  <si>
    <t>641010-00BLB</t>
  </si>
  <si>
    <t>641010-00BLB PP DRYER VENT BLOCK W/SLVSCALLOPED BULK BLK</t>
  </si>
  <si>
    <t>641020-00</t>
  </si>
  <si>
    <t>641020-00 PP SPLIT BLOCK SCALLOPED WHT DURAFLO</t>
  </si>
  <si>
    <t>641020-00B</t>
  </si>
  <si>
    <t>641020-00B PP SPLIT BLOCK SCALLOPED BULK WHT DURAFLO</t>
  </si>
  <si>
    <t>641020-00BLB</t>
  </si>
  <si>
    <t>641020-00BLB PP SPLIT BLOCK SCALLOPED BULK BLK DURAFLO</t>
  </si>
  <si>
    <t>641030-00</t>
  </si>
  <si>
    <t>641030-00 PP JUMBO BLOCK SCALLOPED WHT DURAFLO</t>
  </si>
  <si>
    <t>641030-00B</t>
  </si>
  <si>
    <t>641030-00B PP JUMBO BLOCK SCALLOPED BULK WHT DURAFLO</t>
  </si>
  <si>
    <t>641030-00BLB</t>
  </si>
  <si>
    <t>641030-00BLB PP JUMBO BLOCK SCALLOPED BULK BLK DURAFLO</t>
  </si>
  <si>
    <t>641040-00</t>
  </si>
  <si>
    <t>641040-00 PP RECESSED ELEC BLOCK SCALLOPED WHT DURAFLO</t>
  </si>
  <si>
    <t>641040-00B</t>
  </si>
  <si>
    <t>641040-00B PP RECESSED ELEC BLOCK SCALLOPED BULK WHT</t>
  </si>
  <si>
    <t>641040-00BLB</t>
  </si>
  <si>
    <t>641040-00BLB PP RECESSED ELEC BLOCK SCALLOPED BULK BLK</t>
  </si>
  <si>
    <t>641050-00</t>
  </si>
  <si>
    <t>641050-00 PP FLUSH ELEC BLOCK SCALLOPED WHT DURAFLO</t>
  </si>
  <si>
    <t>641050-00B</t>
  </si>
  <si>
    <t>641050-00B PP FLUSH ELEC BLOCK SCALLOPED BULK WHT</t>
  </si>
  <si>
    <t>641055-00</t>
  </si>
  <si>
    <t>641055-00 PP PROELEC LIGHT BLOCK OAB WHT DURAFLO</t>
  </si>
  <si>
    <t>641060-00</t>
  </si>
  <si>
    <t>641060-00 PP SURFACE SERIES BLOCK SCALLOPED WHT DURAFLO</t>
  </si>
  <si>
    <t>641060-00B</t>
  </si>
  <si>
    <t>641060-00B PP SURFACE SERIES BLOCK SCALLOPED BULK WHT</t>
  </si>
  <si>
    <t>641060-00BLB</t>
  </si>
  <si>
    <t>641060-00BLB PP SURFACE SERIES BLOCK SCALLOPED BULK BLK</t>
  </si>
  <si>
    <t>641090-00</t>
  </si>
  <si>
    <t>641090-00 PP RECESSED DBL WALL ELECBLOCK WHT DURAFLO</t>
  </si>
  <si>
    <t>641090-00B</t>
  </si>
  <si>
    <t>641090-00B PP RECESSED DBL WALL ELECBLOCK BULK WHT DURAFLO</t>
  </si>
  <si>
    <t>641095-00</t>
  </si>
  <si>
    <t>641095-00 PP PROELEC PLUG BLOCK OABWHT DURAFLO</t>
  </si>
  <si>
    <t>641604 PP SOFFIT VENT 16 X 4" WHT DURAFLO</t>
  </si>
  <si>
    <t>641604BR</t>
  </si>
  <si>
    <t>641604BR PP SOFFIT VENT 16 X 4" BRN DURAFLO</t>
  </si>
  <si>
    <t>641608 PP SOFFIT VENT 16 X 8" WHT DURAFLO</t>
  </si>
  <si>
    <t>641608BL</t>
  </si>
  <si>
    <t>641608BL PP SOFFIT VENT 16 X 8" BLK DURAFLO</t>
  </si>
  <si>
    <t>641608BR</t>
  </si>
  <si>
    <t>641608BR PP SOFFIT VENT 16 X 8" BRN DURAFLO</t>
  </si>
  <si>
    <t>642125-00</t>
  </si>
  <si>
    <t>642125-00 PP PRORECESSED ELEC BLOCKWHT DURAFLO</t>
  </si>
  <si>
    <t>642135-00</t>
  </si>
  <si>
    <t>642135-00 PP PROMINI MOUNTING BLOCK3 X 5" WHT DURAFLO</t>
  </si>
  <si>
    <t>642145-00</t>
  </si>
  <si>
    <t>642145-00 PP PROLIGHT BLOCK WHT DURAFLO</t>
  </si>
  <si>
    <t>642155-00</t>
  </si>
  <si>
    <t>642155-00 PP PROSURFACE BLOCK WHT DURAFLO</t>
  </si>
  <si>
    <t>642165-00</t>
  </si>
  <si>
    <t>642165-00 PP PROMOUNTING BLOCK 5 X 6" WHT DURAFLO</t>
  </si>
  <si>
    <t>642175-00</t>
  </si>
  <si>
    <t>642175-00 PP PRORECESSED SPLIT BLOCK WHT DURAFLO</t>
  </si>
  <si>
    <t>645000-00</t>
  </si>
  <si>
    <t>645000-00 PP FLUSH ELEC BLOCK PLATEWHT DURAFLO</t>
  </si>
  <si>
    <t>645020-00</t>
  </si>
  <si>
    <t>645020-00 PP LIGHT BLOCK PLATE WHT DURAFLO</t>
  </si>
  <si>
    <t>645030-00</t>
  </si>
  <si>
    <t>645030-00 PP SPLIT BLOCK PLATE WHT DURAFLO</t>
  </si>
  <si>
    <t>645080-00</t>
  </si>
  <si>
    <t>645080-00 PP METER MOUNT PLATE WHT DURAFLO</t>
  </si>
  <si>
    <t>646004-00</t>
  </si>
  <si>
    <t>646004-00 PP DRYER VENT BLOCK PLATEWHT DURAFLO</t>
  </si>
  <si>
    <t>646010-00</t>
  </si>
  <si>
    <t>646010-00 PP WALL VENT 6" WHT DURAFLO</t>
  </si>
  <si>
    <t>646015 PP BATHROOM SOFFIT EXHAUST VENT WHT DURAFLO</t>
  </si>
  <si>
    <t>646015BR</t>
  </si>
  <si>
    <t>646015BR PP BATHROOM SOFFIT EXHAUST VENT BRN DURAFLO</t>
  </si>
  <si>
    <t>646020-00</t>
  </si>
  <si>
    <t>646020-00 PP ROUND SOFFIT VENT 4" WHT DURAFLO</t>
  </si>
  <si>
    <t>646025-00</t>
  </si>
  <si>
    <t>646025-00 PP WALL VENT W/ COLLAR WHT DURAFLO</t>
  </si>
  <si>
    <t>646025-00BL</t>
  </si>
  <si>
    <t>646025-00BL PP WALL VENT W/ COLLAR BLK DURAFLO</t>
  </si>
  <si>
    <t>648FTBL</t>
  </si>
  <si>
    <t>648FTBL PP PLASTIC SOFFIT STRIP VENT 8' BLK DURAFLO</t>
  </si>
  <si>
    <t>648FTBR</t>
  </si>
  <si>
    <t>648FTBR PP PLASTIC SOFFIT STRIP VENT 8' BRN DURAFLO</t>
  </si>
  <si>
    <t>648FTWH</t>
  </si>
  <si>
    <t>648FTWH PP PLASTIC SOFFIT STRIP VENT 8' WHT DURAFLO</t>
  </si>
  <si>
    <t>649000BL</t>
  </si>
  <si>
    <t>649000BL PP FOUNDATION VENT BLK DURAFLO</t>
  </si>
  <si>
    <t>649000G</t>
  </si>
  <si>
    <t>649000G PP FOUNDATION VENT GRAY DURAFLO</t>
  </si>
  <si>
    <t>641055-00BL</t>
  </si>
  <si>
    <t>641055-00BL PP PROELEC BLOCK OAB BLK DURAFLO</t>
  </si>
  <si>
    <t>641095-00BL</t>
  </si>
  <si>
    <t>641095-00BL PP PROELEC PLUG BLOCK OABBLK DURAFLO</t>
  </si>
  <si>
    <t>642125-00BL</t>
  </si>
  <si>
    <t>642125-00BL PP PRORECESSED ELEC BLOCKBLK DURAFLO</t>
  </si>
  <si>
    <t>642145-00BL</t>
  </si>
  <si>
    <t>642145-00BL PP PROLIGHT BLOCK BLK DURAFLO</t>
  </si>
  <si>
    <t>645020-00BL</t>
  </si>
  <si>
    <t>645020-00BL PP LIGHT BLOCK PLATE BLK DURAFLO</t>
  </si>
  <si>
    <t>646004-00BL</t>
  </si>
  <si>
    <t>646004-00BL PP DRYER VENT BLOCK PLATEBLK DURAFLO</t>
  </si>
  <si>
    <t>551101BL</t>
  </si>
  <si>
    <t>551101BL PP ROOF FLASHING 1 1/2" BLK DURAFLO</t>
  </si>
  <si>
    <t>551102BL</t>
  </si>
  <si>
    <t>551102BL PP ROOF FLASHING 2" BLK DURAFLO</t>
  </si>
  <si>
    <t>551103BL</t>
  </si>
  <si>
    <t>551103BL PP ROOF FLASHING 3" BLK DURAFLO</t>
  </si>
  <si>
    <t>551103BR</t>
  </si>
  <si>
    <t>551103BR PP ROOF FLASHING 3" BRN DURAFLO</t>
  </si>
  <si>
    <t>551103G</t>
  </si>
  <si>
    <t>551103G PP ROOF FLASHING 3" GRAY DURAFLO</t>
  </si>
  <si>
    <t>551103WW</t>
  </si>
  <si>
    <t>551103WW PP ROOF FLASHING 3" WW DURAFLO</t>
  </si>
  <si>
    <t>551104BL</t>
  </si>
  <si>
    <t>551104BL PP ROOF FLASHING 4" BLK DURAFLO</t>
  </si>
  <si>
    <t>551104BR</t>
  </si>
  <si>
    <t>551104BR PP ROOF FLASHING 4" BRN DURAFLO</t>
  </si>
  <si>
    <t>551104WW</t>
  </si>
  <si>
    <t>551104WW PP ROOF FLASHING 4" WW DURAFLO</t>
  </si>
  <si>
    <t>383552 PVC DRAIN 2" RWF</t>
  </si>
  <si>
    <t>383553 FR-PRO 3" ROOF DRN W/ RING H GRY CANPLAS</t>
  </si>
  <si>
    <t>383554 FR-PRO 4" ROOF DRN W/ RING H GRY CANPLAS</t>
  </si>
  <si>
    <t>383555 FR-PRO 2 -4" ROOF DRN UNDERDECK CLAMP GRY</t>
  </si>
  <si>
    <t>383556 FR-PRO 6" ROOF DRN SPG GRY CANPLAS</t>
  </si>
  <si>
    <t>383552-2</t>
  </si>
  <si>
    <t>383552-2 FR-PRO 2, 3, 4" ROOF DRN FLASHING COLLAR GRY</t>
  </si>
  <si>
    <t>383552-3</t>
  </si>
  <si>
    <t>383552-3 FR-PRO 2, 3, 4" ROOF DRN DOME STRNR GRY CANPLAS</t>
  </si>
  <si>
    <t>383556-2</t>
  </si>
  <si>
    <t>383556-2 6 &amp; 8 FLASH RING</t>
  </si>
  <si>
    <t>383556-3</t>
  </si>
  <si>
    <t>383556-3 FR 6"/8" DRAIN STRAINER</t>
  </si>
  <si>
    <t>Price List Name</t>
  </si>
  <si>
    <t>38355NH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</si>
</sst>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15" fontId="0" fillId="0" borderId="0" xfId="0" applyNumberFormat="1"/>
    <xf numFmtId="0" fontId="0" fillId="33" borderId="0" xfId="0" applyFill="1"/>
    <xf numFmtId="1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33"/>
  <sheetViews>
    <sheetView tabSelected="1" topLeftCell="A29" workbookViewId="0">
      <selection activeCell="F39" sqref="F39"/>
    </sheetView>
  </sheetViews>
  <sheetFormatPr defaultRowHeight="14.4" x14ac:dyDescent="0.3"/>
  <cols>
    <col min="1" max="1" width="13.44140625" bestFit="1" customWidth="1"/>
    <col min="2" max="2" width="12.88671875" bestFit="1" customWidth="1"/>
    <col min="3" max="3" width="13.77734375" bestFit="1" customWidth="1"/>
    <col min="4" max="4" width="63.109375" hidden="1" customWidth="1"/>
    <col min="6" max="6" width="9.109375" bestFit="1" customWidth="1"/>
    <col min="7" max="7" width="12.33203125" bestFit="1" customWidth="1"/>
    <col min="9" max="9" width="14.88671875" bestFit="1" customWidth="1"/>
    <col min="10" max="10" width="7" bestFit="1" customWidth="1"/>
    <col min="11" max="11" width="7.5546875" bestFit="1" customWidth="1"/>
    <col min="12" max="12" width="8.6640625" customWidth="1"/>
  </cols>
  <sheetData>
    <row r="1" spans="1:11" x14ac:dyDescent="0.3">
      <c r="A1" t="s">
        <v>457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</row>
    <row r="2" spans="1:11" x14ac:dyDescent="0.3">
      <c r="A2" t="s">
        <v>10</v>
      </c>
      <c r="B2" t="str">
        <f>("662671601490")</f>
        <v>662671601490</v>
      </c>
      <c r="C2" t="s">
        <v>11</v>
      </c>
      <c r="D2" t="s">
        <v>12</v>
      </c>
      <c r="E2">
        <v>22.22</v>
      </c>
      <c r="F2" s="1">
        <v>45336</v>
      </c>
      <c r="G2">
        <v>0.73</v>
      </c>
      <c r="H2">
        <v>1.609</v>
      </c>
      <c r="I2" t="str">
        <f>("30662671601491")</f>
        <v>30662671601491</v>
      </c>
      <c r="J2">
        <v>9</v>
      </c>
      <c r="K2">
        <v>54</v>
      </c>
    </row>
    <row r="3" spans="1:11" x14ac:dyDescent="0.3">
      <c r="A3" t="s">
        <v>10</v>
      </c>
      <c r="B3" t="str">
        <f>("662671601506")</f>
        <v>662671601506</v>
      </c>
      <c r="C3" t="s">
        <v>13</v>
      </c>
      <c r="D3" t="s">
        <v>14</v>
      </c>
      <c r="E3">
        <v>22.22</v>
      </c>
      <c r="F3" s="1">
        <v>45336</v>
      </c>
      <c r="G3">
        <v>0.73</v>
      </c>
      <c r="H3">
        <v>1.609</v>
      </c>
      <c r="I3" t="str">
        <f>("30662671601507")</f>
        <v>30662671601507</v>
      </c>
      <c r="J3">
        <v>9</v>
      </c>
      <c r="K3">
        <v>54</v>
      </c>
    </row>
    <row r="4" spans="1:11" x14ac:dyDescent="0.3">
      <c r="A4" t="s">
        <v>10</v>
      </c>
      <c r="B4" t="str">
        <f>("662671601513")</f>
        <v>662671601513</v>
      </c>
      <c r="C4" t="s">
        <v>15</v>
      </c>
      <c r="D4" t="s">
        <v>16</v>
      </c>
      <c r="E4">
        <v>22.22</v>
      </c>
      <c r="F4" s="1">
        <v>45336</v>
      </c>
      <c r="G4">
        <v>0.72899999999999998</v>
      </c>
      <c r="H4">
        <v>1.607</v>
      </c>
      <c r="I4" t="str">
        <f>("30662671601514")</f>
        <v>30662671601514</v>
      </c>
      <c r="J4">
        <v>9</v>
      </c>
      <c r="K4">
        <v>54</v>
      </c>
    </row>
    <row r="5" spans="1:11" x14ac:dyDescent="0.3">
      <c r="A5" t="s">
        <v>10</v>
      </c>
      <c r="B5" t="str">
        <f>("662671601520")</f>
        <v>662671601520</v>
      </c>
      <c r="C5" t="s">
        <v>17</v>
      </c>
      <c r="D5" t="s">
        <v>18</v>
      </c>
      <c r="E5">
        <v>22.22</v>
      </c>
      <c r="F5" s="1">
        <v>45336</v>
      </c>
      <c r="G5">
        <v>0.72899999999999998</v>
      </c>
      <c r="H5">
        <v>1.607</v>
      </c>
      <c r="I5" t="str">
        <f>("30662671601521")</f>
        <v>30662671601521</v>
      </c>
      <c r="J5">
        <v>9</v>
      </c>
      <c r="K5">
        <v>54</v>
      </c>
    </row>
    <row r="6" spans="1:11" x14ac:dyDescent="0.3">
      <c r="A6" t="s">
        <v>10</v>
      </c>
      <c r="B6" t="str">
        <f>("662671059185")</f>
        <v>662671059185</v>
      </c>
      <c r="C6" t="s">
        <v>19</v>
      </c>
      <c r="D6" t="s">
        <v>20</v>
      </c>
      <c r="E6">
        <v>26.11</v>
      </c>
      <c r="F6" s="1">
        <v>45336</v>
      </c>
      <c r="G6">
        <v>1.26</v>
      </c>
      <c r="H6">
        <v>2.778</v>
      </c>
      <c r="I6" t="str">
        <f>("10662671059182")</f>
        <v>10662671059182</v>
      </c>
      <c r="J6">
        <v>4</v>
      </c>
      <c r="K6">
        <v>32</v>
      </c>
    </row>
    <row r="7" spans="1:11" x14ac:dyDescent="0.3">
      <c r="A7" t="s">
        <v>10</v>
      </c>
      <c r="B7" t="str">
        <f>("662671059192")</f>
        <v>662671059192</v>
      </c>
      <c r="C7" t="s">
        <v>21</v>
      </c>
      <c r="D7" t="s">
        <v>22</v>
      </c>
      <c r="E7">
        <v>26.11</v>
      </c>
      <c r="F7" s="1">
        <v>45336</v>
      </c>
      <c r="G7">
        <v>1.26</v>
      </c>
      <c r="H7">
        <v>2.778</v>
      </c>
      <c r="I7" t="str">
        <f>("10662671059199")</f>
        <v>10662671059199</v>
      </c>
      <c r="J7">
        <v>4</v>
      </c>
      <c r="K7">
        <v>32</v>
      </c>
    </row>
    <row r="8" spans="1:11" x14ac:dyDescent="0.3">
      <c r="A8" t="s">
        <v>10</v>
      </c>
      <c r="B8" t="str">
        <f>("662671059208")</f>
        <v>662671059208</v>
      </c>
      <c r="C8" t="s">
        <v>23</v>
      </c>
      <c r="D8" t="s">
        <v>24</v>
      </c>
      <c r="E8">
        <v>26.11</v>
      </c>
      <c r="F8" s="1">
        <v>45336</v>
      </c>
      <c r="G8">
        <v>1.26</v>
      </c>
      <c r="H8">
        <v>2.778</v>
      </c>
      <c r="I8" t="str">
        <f>("10662671059205")</f>
        <v>10662671059205</v>
      </c>
      <c r="J8">
        <v>4</v>
      </c>
      <c r="K8">
        <v>32</v>
      </c>
    </row>
    <row r="9" spans="1:11" x14ac:dyDescent="0.3">
      <c r="A9" t="s">
        <v>10</v>
      </c>
      <c r="B9" t="str">
        <f>("662671059222")</f>
        <v>662671059222</v>
      </c>
      <c r="C9" t="s">
        <v>25</v>
      </c>
      <c r="D9" t="s">
        <v>26</v>
      </c>
      <c r="E9">
        <v>26.11</v>
      </c>
      <c r="F9" s="1">
        <v>45336</v>
      </c>
      <c r="G9">
        <v>1.26</v>
      </c>
      <c r="H9">
        <v>2.778</v>
      </c>
      <c r="I9" t="str">
        <f>("10662671059229")</f>
        <v>10662671059229</v>
      </c>
      <c r="J9">
        <v>4</v>
      </c>
      <c r="K9">
        <v>32</v>
      </c>
    </row>
    <row r="10" spans="1:11" x14ac:dyDescent="0.3">
      <c r="A10" t="s">
        <v>10</v>
      </c>
      <c r="B10" t="str">
        <f>("662671057587")</f>
        <v>662671057587</v>
      </c>
      <c r="C10" t="s">
        <v>27</v>
      </c>
      <c r="D10" t="s">
        <v>28</v>
      </c>
      <c r="E10">
        <v>22.22</v>
      </c>
      <c r="F10" s="1">
        <v>45336</v>
      </c>
      <c r="G10">
        <v>0.748</v>
      </c>
      <c r="H10">
        <v>1.649</v>
      </c>
      <c r="I10" t="str">
        <f>("10662671057584")</f>
        <v>10662671057584</v>
      </c>
      <c r="J10">
        <v>8</v>
      </c>
      <c r="K10">
        <v>48</v>
      </c>
    </row>
    <row r="11" spans="1:11" x14ac:dyDescent="0.3">
      <c r="A11" t="s">
        <v>10</v>
      </c>
      <c r="B11" t="str">
        <f>("662671057594")</f>
        <v>662671057594</v>
      </c>
      <c r="C11" t="s">
        <v>29</v>
      </c>
      <c r="D11" t="s">
        <v>30</v>
      </c>
      <c r="E11">
        <v>22.22</v>
      </c>
      <c r="F11" s="1">
        <v>45336</v>
      </c>
      <c r="G11">
        <v>0.748</v>
      </c>
      <c r="H11">
        <v>1.649</v>
      </c>
      <c r="I11" t="str">
        <f>("10662671057591")</f>
        <v>10662671057591</v>
      </c>
      <c r="J11">
        <v>8</v>
      </c>
      <c r="K11">
        <v>48</v>
      </c>
    </row>
    <row r="12" spans="1:11" x14ac:dyDescent="0.3">
      <c r="A12" t="s">
        <v>10</v>
      </c>
      <c r="B12" t="str">
        <f>("662671057600")</f>
        <v>662671057600</v>
      </c>
      <c r="C12" t="s">
        <v>31</v>
      </c>
      <c r="D12" t="s">
        <v>32</v>
      </c>
      <c r="E12">
        <v>22.22</v>
      </c>
      <c r="F12" s="1">
        <v>45336</v>
      </c>
      <c r="G12">
        <v>0.748</v>
      </c>
      <c r="H12">
        <v>1.649</v>
      </c>
      <c r="I12" t="str">
        <f>("10662671057607")</f>
        <v>10662671057607</v>
      </c>
      <c r="J12">
        <v>8</v>
      </c>
      <c r="K12">
        <v>48</v>
      </c>
    </row>
    <row r="13" spans="1:11" x14ac:dyDescent="0.3">
      <c r="A13" t="s">
        <v>10</v>
      </c>
      <c r="B13" t="str">
        <f>("662671057617")</f>
        <v>662671057617</v>
      </c>
      <c r="C13" t="s">
        <v>33</v>
      </c>
      <c r="D13" t="s">
        <v>34</v>
      </c>
      <c r="E13">
        <v>22.22</v>
      </c>
      <c r="F13" s="1">
        <v>45336</v>
      </c>
      <c r="G13">
        <v>0.748</v>
      </c>
      <c r="H13">
        <v>1.649</v>
      </c>
      <c r="I13" t="str">
        <f>("10662671057614")</f>
        <v>10662671057614</v>
      </c>
      <c r="J13">
        <v>8</v>
      </c>
      <c r="K13">
        <v>48</v>
      </c>
    </row>
    <row r="14" spans="1:11" x14ac:dyDescent="0.3">
      <c r="A14" t="s">
        <v>10</v>
      </c>
      <c r="B14" t="str">
        <f>("662671600011")</f>
        <v>662671600011</v>
      </c>
      <c r="C14" t="s">
        <v>35</v>
      </c>
      <c r="D14" t="s">
        <v>36</v>
      </c>
      <c r="E14">
        <v>15.51</v>
      </c>
      <c r="F14" s="1">
        <v>45336</v>
      </c>
      <c r="G14">
        <v>0.56699999999999995</v>
      </c>
      <c r="H14">
        <v>1.25</v>
      </c>
      <c r="I14" t="str">
        <f>("10662671600018")</f>
        <v>10662671600018</v>
      </c>
      <c r="J14">
        <v>10</v>
      </c>
      <c r="K14">
        <v>80</v>
      </c>
    </row>
    <row r="15" spans="1:11" x14ac:dyDescent="0.3">
      <c r="A15" t="s">
        <v>10</v>
      </c>
      <c r="B15" t="str">
        <f>("662671600028")</f>
        <v>662671600028</v>
      </c>
      <c r="C15" t="s">
        <v>37</v>
      </c>
      <c r="D15" t="s">
        <v>38</v>
      </c>
      <c r="E15">
        <v>15.51</v>
      </c>
      <c r="F15" s="1">
        <v>45336</v>
      </c>
      <c r="G15">
        <v>0.56699999999999995</v>
      </c>
      <c r="H15">
        <v>1.25</v>
      </c>
      <c r="I15" t="str">
        <f>("10662671600025")</f>
        <v>10662671600025</v>
      </c>
      <c r="J15">
        <v>10</v>
      </c>
      <c r="K15">
        <v>80</v>
      </c>
    </row>
    <row r="16" spans="1:11" x14ac:dyDescent="0.3">
      <c r="A16" t="s">
        <v>10</v>
      </c>
      <c r="B16" t="str">
        <f>("662671600035")</f>
        <v>662671600035</v>
      </c>
      <c r="C16" t="s">
        <v>39</v>
      </c>
      <c r="D16" t="s">
        <v>40</v>
      </c>
      <c r="E16">
        <v>15.51</v>
      </c>
      <c r="F16" s="1">
        <v>45336</v>
      </c>
      <c r="G16">
        <v>0.56599999999999995</v>
      </c>
      <c r="H16">
        <v>1.248</v>
      </c>
      <c r="I16" t="str">
        <f>("10662671600032")</f>
        <v>10662671600032</v>
      </c>
      <c r="J16">
        <v>10</v>
      </c>
      <c r="K16">
        <v>80</v>
      </c>
    </row>
    <row r="17" spans="1:11" x14ac:dyDescent="0.3">
      <c r="A17" t="s">
        <v>10</v>
      </c>
      <c r="B17" t="str">
        <f>("662671600097")</f>
        <v>662671600097</v>
      </c>
      <c r="C17" t="s">
        <v>41</v>
      </c>
      <c r="D17" t="s">
        <v>42</v>
      </c>
      <c r="E17">
        <v>15.51</v>
      </c>
      <c r="F17" s="1">
        <v>45336</v>
      </c>
      <c r="G17">
        <v>0.56599999999999995</v>
      </c>
      <c r="H17">
        <v>1.248</v>
      </c>
      <c r="I17" t="str">
        <f>("10662671600094")</f>
        <v>10662671600094</v>
      </c>
      <c r="J17">
        <v>10</v>
      </c>
      <c r="K17">
        <v>80</v>
      </c>
    </row>
    <row r="18" spans="1:11" x14ac:dyDescent="0.3">
      <c r="A18" t="s">
        <v>10</v>
      </c>
      <c r="B18" t="str">
        <f>("662671600059")</f>
        <v>662671600059</v>
      </c>
      <c r="C18" t="s">
        <v>43</v>
      </c>
      <c r="D18" t="s">
        <v>44</v>
      </c>
      <c r="E18">
        <v>23.19</v>
      </c>
      <c r="F18" s="1">
        <v>45336</v>
      </c>
      <c r="G18">
        <v>0.95</v>
      </c>
      <c r="H18">
        <v>2.0939999999999999</v>
      </c>
      <c r="I18" t="str">
        <f>("10662671600056")</f>
        <v>10662671600056</v>
      </c>
      <c r="J18">
        <v>5</v>
      </c>
      <c r="K18">
        <v>40</v>
      </c>
    </row>
    <row r="19" spans="1:11" x14ac:dyDescent="0.3">
      <c r="A19" t="s">
        <v>10</v>
      </c>
      <c r="B19" t="str">
        <f>("662671600066")</f>
        <v>662671600066</v>
      </c>
      <c r="C19" t="s">
        <v>45</v>
      </c>
      <c r="D19" t="s">
        <v>46</v>
      </c>
      <c r="E19">
        <v>23.19</v>
      </c>
      <c r="F19" s="1">
        <v>45336</v>
      </c>
      <c r="G19">
        <v>0.97699999999999998</v>
      </c>
      <c r="H19">
        <v>2.1539999999999999</v>
      </c>
      <c r="I19" t="str">
        <f>("10662671600063")</f>
        <v>10662671600063</v>
      </c>
      <c r="J19">
        <v>5</v>
      </c>
      <c r="K19">
        <v>40</v>
      </c>
    </row>
    <row r="20" spans="1:11" x14ac:dyDescent="0.3">
      <c r="A20" t="s">
        <v>10</v>
      </c>
      <c r="B20" t="str">
        <f>("662671600073")</f>
        <v>662671600073</v>
      </c>
      <c r="C20" t="s">
        <v>47</v>
      </c>
      <c r="D20" t="s">
        <v>48</v>
      </c>
      <c r="E20">
        <v>23.19</v>
      </c>
      <c r="F20" s="1">
        <v>45336</v>
      </c>
      <c r="G20">
        <v>0.93500000000000005</v>
      </c>
      <c r="H20">
        <v>2.0609999999999999</v>
      </c>
      <c r="I20" t="str">
        <f>("10662671600070")</f>
        <v>10662671600070</v>
      </c>
      <c r="J20">
        <v>5</v>
      </c>
      <c r="K20">
        <v>40</v>
      </c>
    </row>
    <row r="21" spans="1:11" x14ac:dyDescent="0.3">
      <c r="A21" t="s">
        <v>10</v>
      </c>
      <c r="B21" t="str">
        <f>("662671600103")</f>
        <v>662671600103</v>
      </c>
      <c r="C21" t="s">
        <v>49</v>
      </c>
      <c r="D21" t="s">
        <v>50</v>
      </c>
      <c r="E21">
        <v>23.19</v>
      </c>
      <c r="F21" s="1">
        <v>45336</v>
      </c>
      <c r="G21">
        <v>0.93500000000000005</v>
      </c>
      <c r="H21">
        <v>2.0609999999999999</v>
      </c>
      <c r="I21" t="str">
        <f>("10662671600100")</f>
        <v>10662671600100</v>
      </c>
      <c r="J21">
        <v>5</v>
      </c>
      <c r="K21">
        <v>40</v>
      </c>
    </row>
    <row r="22" spans="1:11" x14ac:dyDescent="0.3">
      <c r="A22" t="s">
        <v>10</v>
      </c>
      <c r="B22" t="str">
        <f>("662671601186")</f>
        <v>662671601186</v>
      </c>
      <c r="C22" t="s">
        <v>51</v>
      </c>
      <c r="D22" t="s">
        <v>52</v>
      </c>
      <c r="E22">
        <v>18.18</v>
      </c>
      <c r="F22" s="1">
        <v>45336</v>
      </c>
      <c r="G22">
        <v>0.66300000000000003</v>
      </c>
      <c r="H22">
        <v>1.462</v>
      </c>
      <c r="I22" t="str">
        <f>("10662671601183")</f>
        <v>10662671601183</v>
      </c>
      <c r="J22">
        <v>12</v>
      </c>
      <c r="K22">
        <v>144</v>
      </c>
    </row>
    <row r="23" spans="1:11" x14ac:dyDescent="0.3">
      <c r="A23" t="s">
        <v>10</v>
      </c>
      <c r="B23" t="str">
        <f>("662671601193")</f>
        <v>662671601193</v>
      </c>
      <c r="C23" t="s">
        <v>53</v>
      </c>
      <c r="D23" t="s">
        <v>54</v>
      </c>
      <c r="E23">
        <v>18.18</v>
      </c>
      <c r="F23" s="1">
        <v>45336</v>
      </c>
      <c r="G23">
        <v>0.66200000000000003</v>
      </c>
      <c r="H23">
        <v>1.4590000000000001</v>
      </c>
      <c r="I23" t="str">
        <f>("10662671601190")</f>
        <v>10662671601190</v>
      </c>
      <c r="J23">
        <v>12</v>
      </c>
      <c r="K23">
        <v>144</v>
      </c>
    </row>
    <row r="24" spans="1:11" x14ac:dyDescent="0.3">
      <c r="A24" t="s">
        <v>10</v>
      </c>
      <c r="B24" t="str">
        <f>("662671601209")</f>
        <v>662671601209</v>
      </c>
      <c r="C24" t="s">
        <v>55</v>
      </c>
      <c r="D24" t="s">
        <v>56</v>
      </c>
      <c r="E24">
        <v>18.18</v>
      </c>
      <c r="F24" s="1">
        <v>45336</v>
      </c>
      <c r="G24">
        <v>0.66200000000000003</v>
      </c>
      <c r="H24">
        <v>1.4590000000000001</v>
      </c>
      <c r="I24" t="str">
        <f>("10662671601206")</f>
        <v>10662671601206</v>
      </c>
      <c r="J24">
        <v>12</v>
      </c>
      <c r="K24">
        <v>144</v>
      </c>
    </row>
    <row r="25" spans="1:11" x14ac:dyDescent="0.3">
      <c r="A25" t="s">
        <v>10</v>
      </c>
      <c r="B25" t="str">
        <f>("662671601223")</f>
        <v>662671601223</v>
      </c>
      <c r="C25" t="s">
        <v>57</v>
      </c>
      <c r="D25" t="s">
        <v>58</v>
      </c>
      <c r="E25">
        <v>18.18</v>
      </c>
      <c r="F25" s="1">
        <v>45336</v>
      </c>
      <c r="G25">
        <v>0.66200000000000003</v>
      </c>
      <c r="H25">
        <v>1.4590000000000001</v>
      </c>
      <c r="I25" t="str">
        <f>("10662671601220")</f>
        <v>10662671601220</v>
      </c>
      <c r="J25">
        <v>12</v>
      </c>
      <c r="K25">
        <v>144</v>
      </c>
    </row>
    <row r="26" spans="1:11" x14ac:dyDescent="0.3">
      <c r="A26" t="s">
        <v>10</v>
      </c>
      <c r="B26" t="str">
        <f>("662671550361")</f>
        <v>662671550361</v>
      </c>
      <c r="C26" t="s">
        <v>59</v>
      </c>
      <c r="D26" t="s">
        <v>60</v>
      </c>
      <c r="E26">
        <v>13.39</v>
      </c>
      <c r="F26" s="1">
        <v>45336</v>
      </c>
      <c r="G26">
        <v>0.183</v>
      </c>
      <c r="H26">
        <v>0.40300000000000002</v>
      </c>
      <c r="I26" t="str">
        <f>("10662671550368")</f>
        <v>10662671550368</v>
      </c>
      <c r="J26">
        <v>12</v>
      </c>
      <c r="K26">
        <v>576</v>
      </c>
    </row>
    <row r="27" spans="1:11" x14ac:dyDescent="0.3">
      <c r="A27" t="s">
        <v>10</v>
      </c>
      <c r="B27" t="str">
        <f>("662671550392")</f>
        <v>662671550392</v>
      </c>
      <c r="C27" t="s">
        <v>61</v>
      </c>
      <c r="D27" t="s">
        <v>62</v>
      </c>
      <c r="E27">
        <v>13.39</v>
      </c>
      <c r="F27" s="1">
        <v>45336</v>
      </c>
      <c r="G27">
        <v>0.183</v>
      </c>
      <c r="H27">
        <v>0.40300000000000002</v>
      </c>
      <c r="I27" t="str">
        <f>("10662671550399")</f>
        <v>10662671550399</v>
      </c>
      <c r="J27">
        <v>12</v>
      </c>
      <c r="K27">
        <v>576</v>
      </c>
    </row>
    <row r="28" spans="1:11" x14ac:dyDescent="0.3">
      <c r="A28" t="s">
        <v>10</v>
      </c>
      <c r="B28" t="str">
        <f>("662671550415")</f>
        <v>662671550415</v>
      </c>
      <c r="C28" t="s">
        <v>63</v>
      </c>
      <c r="D28" t="s">
        <v>64</v>
      </c>
      <c r="E28">
        <v>13.39</v>
      </c>
      <c r="F28" s="1">
        <v>45336</v>
      </c>
      <c r="G28">
        <v>0.183</v>
      </c>
      <c r="H28">
        <v>0.40300000000000002</v>
      </c>
      <c r="I28" t="str">
        <f>("10662671550412")</f>
        <v>10662671550412</v>
      </c>
      <c r="J28">
        <v>12</v>
      </c>
      <c r="K28">
        <v>576</v>
      </c>
    </row>
    <row r="29" spans="1:11" x14ac:dyDescent="0.3">
      <c r="A29" t="s">
        <v>10</v>
      </c>
      <c r="B29" t="str">
        <f>("662671550378")</f>
        <v>662671550378</v>
      </c>
      <c r="C29" t="s">
        <v>65</v>
      </c>
      <c r="D29" t="s">
        <v>66</v>
      </c>
      <c r="E29">
        <v>14.62</v>
      </c>
      <c r="F29" s="1">
        <v>45336</v>
      </c>
      <c r="G29">
        <v>0.314</v>
      </c>
      <c r="H29">
        <v>0.69199999999999995</v>
      </c>
      <c r="I29" t="str">
        <f>("30662671550379")</f>
        <v>30662671550379</v>
      </c>
      <c r="J29">
        <v>12</v>
      </c>
      <c r="K29">
        <v>384</v>
      </c>
    </row>
    <row r="30" spans="1:11" x14ac:dyDescent="0.3">
      <c r="A30" t="s">
        <v>10</v>
      </c>
      <c r="B30" t="str">
        <f>("662671550446")</f>
        <v>662671550446</v>
      </c>
      <c r="C30" t="s">
        <v>67</v>
      </c>
      <c r="D30" t="s">
        <v>68</v>
      </c>
      <c r="E30">
        <v>14.62</v>
      </c>
      <c r="F30" s="1">
        <v>45336</v>
      </c>
      <c r="G30">
        <v>0.314</v>
      </c>
      <c r="H30">
        <v>0.69199999999999995</v>
      </c>
      <c r="I30" t="str">
        <f>("30662671550447")</f>
        <v>30662671550447</v>
      </c>
      <c r="J30">
        <v>12</v>
      </c>
      <c r="K30">
        <v>384</v>
      </c>
    </row>
    <row r="31" spans="1:11" x14ac:dyDescent="0.3">
      <c r="A31" t="s">
        <v>10</v>
      </c>
      <c r="B31" t="str">
        <f>("662671550460")</f>
        <v>662671550460</v>
      </c>
      <c r="C31" t="s">
        <v>69</v>
      </c>
      <c r="D31" t="s">
        <v>70</v>
      </c>
      <c r="E31">
        <v>14.62</v>
      </c>
      <c r="F31" s="1">
        <v>45336</v>
      </c>
      <c r="G31">
        <v>0.314</v>
      </c>
      <c r="H31">
        <v>0.69199999999999995</v>
      </c>
      <c r="I31" t="str">
        <f>("30662671550461")</f>
        <v>30662671550461</v>
      </c>
      <c r="J31">
        <v>12</v>
      </c>
      <c r="K31">
        <v>384</v>
      </c>
    </row>
    <row r="32" spans="1:11" x14ac:dyDescent="0.3">
      <c r="A32" t="s">
        <v>10</v>
      </c>
      <c r="B32" t="str">
        <f>("662671550453")</f>
        <v>662671550453</v>
      </c>
      <c r="C32" t="s">
        <v>71</v>
      </c>
      <c r="D32" t="s">
        <v>72</v>
      </c>
      <c r="E32">
        <v>14.62</v>
      </c>
      <c r="F32" s="1">
        <v>45336</v>
      </c>
      <c r="G32">
        <v>0.314</v>
      </c>
      <c r="H32">
        <v>0.69199999999999995</v>
      </c>
      <c r="I32" t="str">
        <f>("30662671550454")</f>
        <v>30662671550454</v>
      </c>
      <c r="J32">
        <v>12</v>
      </c>
      <c r="K32">
        <v>384</v>
      </c>
    </row>
    <row r="33" spans="1:11" x14ac:dyDescent="0.3">
      <c r="A33" t="s">
        <v>10</v>
      </c>
      <c r="B33" t="str">
        <f>("662671601384")</f>
        <v>662671601384</v>
      </c>
      <c r="C33" t="s">
        <v>73</v>
      </c>
      <c r="D33" t="s">
        <v>74</v>
      </c>
      <c r="E33">
        <v>61.42</v>
      </c>
      <c r="F33" s="1">
        <v>45336</v>
      </c>
      <c r="G33">
        <v>1.2390000000000001</v>
      </c>
      <c r="H33">
        <v>2.7320000000000002</v>
      </c>
      <c r="I33" t="str">
        <f>("10662671601381")</f>
        <v>10662671601381</v>
      </c>
      <c r="J33">
        <v>2</v>
      </c>
      <c r="K33">
        <v>24</v>
      </c>
    </row>
    <row r="34" spans="1:11" x14ac:dyDescent="0.3">
      <c r="A34" t="s">
        <v>10</v>
      </c>
      <c r="B34" t="str">
        <f>("662671601391")</f>
        <v>662671601391</v>
      </c>
      <c r="C34" t="s">
        <v>75</v>
      </c>
      <c r="D34" t="s">
        <v>76</v>
      </c>
      <c r="E34">
        <v>61.42</v>
      </c>
      <c r="F34" s="1">
        <v>45336</v>
      </c>
      <c r="G34">
        <v>1.2390000000000001</v>
      </c>
      <c r="H34">
        <v>2.7320000000000002</v>
      </c>
      <c r="I34" t="str">
        <f>("10662671601398")</f>
        <v>10662671601398</v>
      </c>
      <c r="J34">
        <v>2</v>
      </c>
      <c r="K34">
        <v>24</v>
      </c>
    </row>
    <row r="35" spans="1:11" x14ac:dyDescent="0.3">
      <c r="A35" t="s">
        <v>10</v>
      </c>
      <c r="B35" t="str">
        <f>("662671074232")</f>
        <v>662671074232</v>
      </c>
      <c r="C35" t="s">
        <v>77</v>
      </c>
      <c r="D35" t="s">
        <v>78</v>
      </c>
      <c r="E35">
        <v>23.45</v>
      </c>
      <c r="F35" s="1">
        <v>45336</v>
      </c>
      <c r="G35">
        <v>0.56299999999999994</v>
      </c>
      <c r="H35">
        <v>1.2410000000000001</v>
      </c>
      <c r="I35" t="str">
        <f>("10662671074239")</f>
        <v>10662671074239</v>
      </c>
      <c r="J35">
        <v>6</v>
      </c>
      <c r="K35">
        <v>90</v>
      </c>
    </row>
    <row r="36" spans="1:11" x14ac:dyDescent="0.3">
      <c r="A36" t="s">
        <v>10</v>
      </c>
      <c r="B36" t="str">
        <f>("662671074249")</f>
        <v>662671074249</v>
      </c>
      <c r="C36" t="s">
        <v>79</v>
      </c>
      <c r="D36" t="s">
        <v>80</v>
      </c>
      <c r="E36">
        <v>23.45</v>
      </c>
      <c r="F36" s="1">
        <v>45336</v>
      </c>
      <c r="G36">
        <v>0.38900000000000001</v>
      </c>
      <c r="H36">
        <v>0.85799999999999998</v>
      </c>
      <c r="I36" t="str">
        <f>("10662671074246")</f>
        <v>10662671074246</v>
      </c>
      <c r="J36">
        <v>6</v>
      </c>
      <c r="K36">
        <v>90</v>
      </c>
    </row>
    <row r="37" spans="1:11" x14ac:dyDescent="0.3">
      <c r="A37" t="s">
        <v>10</v>
      </c>
      <c r="B37" t="str">
        <f>("662671074263")</f>
        <v>662671074263</v>
      </c>
      <c r="C37" t="s">
        <v>81</v>
      </c>
      <c r="D37" t="s">
        <v>82</v>
      </c>
      <c r="E37">
        <v>23.45</v>
      </c>
      <c r="F37" s="1">
        <v>45336</v>
      </c>
      <c r="G37">
        <v>0.38900000000000001</v>
      </c>
      <c r="H37">
        <v>0.85799999999999998</v>
      </c>
      <c r="I37" t="str">
        <f>("10662671074260")</f>
        <v>10662671074260</v>
      </c>
      <c r="J37">
        <v>6</v>
      </c>
      <c r="K37">
        <v>90</v>
      </c>
    </row>
    <row r="38" spans="1:11" x14ac:dyDescent="0.3">
      <c r="A38" t="s">
        <v>10</v>
      </c>
      <c r="B38" t="str">
        <f>("662671026347")</f>
        <v>662671026347</v>
      </c>
      <c r="C38" t="s">
        <v>83</v>
      </c>
      <c r="D38" t="s">
        <v>84</v>
      </c>
      <c r="E38">
        <v>96.15</v>
      </c>
      <c r="F38" s="1">
        <v>45336</v>
      </c>
      <c r="G38">
        <v>3.4369999999999998</v>
      </c>
      <c r="H38">
        <v>7.577</v>
      </c>
      <c r="I38" t="str">
        <f>("10662671026344")</f>
        <v>10662671026344</v>
      </c>
      <c r="J38">
        <v>1</v>
      </c>
      <c r="K38">
        <v>36</v>
      </c>
    </row>
    <row r="39" spans="1:11" x14ac:dyDescent="0.3">
      <c r="A39" t="s">
        <v>10</v>
      </c>
      <c r="B39" t="str">
        <f>("662671601643")</f>
        <v>662671601643</v>
      </c>
      <c r="C39" t="s">
        <v>85</v>
      </c>
      <c r="D39" t="s">
        <v>86</v>
      </c>
      <c r="E39">
        <v>21.28</v>
      </c>
      <c r="F39" s="1">
        <v>45336</v>
      </c>
      <c r="G39">
        <v>0.86799999999999999</v>
      </c>
      <c r="H39">
        <v>1.9139999999999999</v>
      </c>
      <c r="I39" t="str">
        <f>("10662671601640")</f>
        <v>10662671601640</v>
      </c>
      <c r="J39">
        <v>12</v>
      </c>
      <c r="K39">
        <v>108</v>
      </c>
    </row>
    <row r="40" spans="1:11" x14ac:dyDescent="0.3">
      <c r="A40" t="s">
        <v>10</v>
      </c>
      <c r="B40" t="str">
        <f>("662671590978")</f>
        <v>662671590978</v>
      </c>
      <c r="C40" t="s">
        <v>87</v>
      </c>
      <c r="D40" t="s">
        <v>88</v>
      </c>
      <c r="E40">
        <v>40.53</v>
      </c>
      <c r="F40" s="1">
        <v>45336</v>
      </c>
      <c r="G40">
        <v>0.63200000000000001</v>
      </c>
      <c r="H40">
        <v>1.393</v>
      </c>
      <c r="I40" t="str">
        <f>("10662671590975")</f>
        <v>10662671590975</v>
      </c>
      <c r="J40">
        <v>6</v>
      </c>
      <c r="K40">
        <v>48</v>
      </c>
    </row>
    <row r="41" spans="1:11" x14ac:dyDescent="0.3">
      <c r="A41" t="s">
        <v>10</v>
      </c>
      <c r="B41" t="str">
        <f>("662671590985")</f>
        <v>662671590985</v>
      </c>
      <c r="C41" t="s">
        <v>89</v>
      </c>
      <c r="D41" t="s">
        <v>90</v>
      </c>
      <c r="E41">
        <v>60.79</v>
      </c>
      <c r="F41" s="1">
        <v>45336</v>
      </c>
      <c r="G41">
        <v>1.0489999999999999</v>
      </c>
      <c r="H41">
        <v>2.3130000000000002</v>
      </c>
      <c r="I41" t="str">
        <f>("10662671590982")</f>
        <v>10662671590982</v>
      </c>
      <c r="J41">
        <v>5</v>
      </c>
      <c r="K41">
        <v>40</v>
      </c>
    </row>
    <row r="42" spans="1:11" x14ac:dyDescent="0.3">
      <c r="A42" t="s">
        <v>10</v>
      </c>
      <c r="B42" t="str">
        <f>("662671591005")</f>
        <v>662671591005</v>
      </c>
      <c r="C42" t="s">
        <v>91</v>
      </c>
      <c r="D42" t="s">
        <v>92</v>
      </c>
      <c r="E42">
        <v>54.03</v>
      </c>
      <c r="F42" s="1">
        <v>45336</v>
      </c>
      <c r="G42">
        <v>1.0489999999999999</v>
      </c>
      <c r="H42">
        <v>2.3130000000000002</v>
      </c>
      <c r="I42" t="str">
        <f>("30662671591006")</f>
        <v>30662671591006</v>
      </c>
      <c r="J42">
        <v>6</v>
      </c>
      <c r="K42">
        <v>48</v>
      </c>
    </row>
    <row r="43" spans="1:11" x14ac:dyDescent="0.3">
      <c r="A43" t="s">
        <v>10</v>
      </c>
      <c r="B43" t="str">
        <f>("662671601407")</f>
        <v>662671601407</v>
      </c>
      <c r="C43">
        <v>5503</v>
      </c>
      <c r="D43" t="s">
        <v>93</v>
      </c>
      <c r="E43">
        <v>6.73</v>
      </c>
      <c r="F43" s="1">
        <v>45336</v>
      </c>
      <c r="G43">
        <v>7.4999999999999997E-2</v>
      </c>
      <c r="H43">
        <v>0.16500000000000001</v>
      </c>
      <c r="I43" t="str">
        <f>("10662671601404")</f>
        <v>10662671601404</v>
      </c>
      <c r="J43">
        <v>12</v>
      </c>
      <c r="K43">
        <v>960</v>
      </c>
    </row>
    <row r="44" spans="1:11" x14ac:dyDescent="0.3">
      <c r="A44" t="s">
        <v>10</v>
      </c>
      <c r="B44" t="str">
        <f>("662671610195")</f>
        <v>662671610195</v>
      </c>
      <c r="C44">
        <v>5511930</v>
      </c>
      <c r="D44" t="s">
        <v>94</v>
      </c>
      <c r="E44">
        <v>33.72</v>
      </c>
      <c r="F44" s="1">
        <v>45336</v>
      </c>
      <c r="G44">
        <v>0.42599999999999999</v>
      </c>
      <c r="H44">
        <v>0.93899999999999995</v>
      </c>
      <c r="I44" t="str">
        <f>("10662671610192")</f>
        <v>10662671610192</v>
      </c>
      <c r="J44">
        <v>6</v>
      </c>
      <c r="K44">
        <v>180</v>
      </c>
    </row>
    <row r="45" spans="1:11" x14ac:dyDescent="0.3">
      <c r="A45" t="s">
        <v>10</v>
      </c>
      <c r="B45" t="str">
        <f>("662671610201")</f>
        <v>662671610201</v>
      </c>
      <c r="C45">
        <v>5511931</v>
      </c>
      <c r="D45" t="s">
        <v>95</v>
      </c>
      <c r="E45">
        <v>33.72</v>
      </c>
      <c r="F45" s="1">
        <v>45336</v>
      </c>
      <c r="G45">
        <v>0.53600000000000003</v>
      </c>
      <c r="H45">
        <v>1.1819999999999999</v>
      </c>
      <c r="I45" t="str">
        <f>("10662671610208")</f>
        <v>10662671610208</v>
      </c>
      <c r="J45">
        <v>6</v>
      </c>
      <c r="K45">
        <v>180</v>
      </c>
    </row>
    <row r="46" spans="1:11" x14ac:dyDescent="0.3">
      <c r="A46" t="s">
        <v>10</v>
      </c>
      <c r="B46" t="str">
        <f>("662671550514")</f>
        <v>662671550514</v>
      </c>
      <c r="C46" t="s">
        <v>96</v>
      </c>
      <c r="D46" t="s">
        <v>97</v>
      </c>
      <c r="E46">
        <v>22.17</v>
      </c>
      <c r="F46" s="1">
        <v>45336</v>
      </c>
      <c r="G46">
        <v>0.36099999999999999</v>
      </c>
      <c r="H46">
        <v>0.79600000000000004</v>
      </c>
      <c r="I46" t="str">
        <f>("10662671550511")</f>
        <v>10662671550511</v>
      </c>
      <c r="J46">
        <v>12</v>
      </c>
      <c r="K46">
        <v>384</v>
      </c>
    </row>
    <row r="47" spans="1:11" x14ac:dyDescent="0.3">
      <c r="A47" t="s">
        <v>10</v>
      </c>
      <c r="B47" t="str">
        <f>("662671550521")</f>
        <v>662671550521</v>
      </c>
      <c r="C47" t="s">
        <v>98</v>
      </c>
      <c r="D47" t="s">
        <v>99</v>
      </c>
      <c r="E47">
        <v>22.17</v>
      </c>
      <c r="F47" s="1">
        <v>45336</v>
      </c>
      <c r="G47">
        <v>0.56599999999999995</v>
      </c>
      <c r="H47">
        <v>1.248</v>
      </c>
      <c r="I47" t="str">
        <f>("30662671550522")</f>
        <v>30662671550522</v>
      </c>
      <c r="J47">
        <v>12</v>
      </c>
      <c r="K47">
        <v>192</v>
      </c>
    </row>
    <row r="48" spans="1:11" x14ac:dyDescent="0.3">
      <c r="A48" t="s">
        <v>10</v>
      </c>
      <c r="B48" t="str">
        <f>("662671550538")</f>
        <v>662671550538</v>
      </c>
      <c r="C48" t="s">
        <v>100</v>
      </c>
      <c r="D48" t="s">
        <v>101</v>
      </c>
      <c r="E48">
        <v>22.17</v>
      </c>
      <c r="F48" s="1">
        <v>45336</v>
      </c>
      <c r="G48">
        <v>0.55000000000000004</v>
      </c>
      <c r="H48">
        <v>1.2130000000000001</v>
      </c>
      <c r="I48" t="str">
        <f>("10662671550535")</f>
        <v>10662671550535</v>
      </c>
      <c r="J48">
        <v>12</v>
      </c>
      <c r="K48">
        <v>192</v>
      </c>
    </row>
    <row r="49" spans="1:11" x14ac:dyDescent="0.3">
      <c r="A49" t="s">
        <v>10</v>
      </c>
      <c r="B49" t="str">
        <f>("662671610218")</f>
        <v>662671610218</v>
      </c>
      <c r="C49" t="s">
        <v>102</v>
      </c>
      <c r="D49" t="s">
        <v>103</v>
      </c>
      <c r="E49">
        <v>9.3800000000000008</v>
      </c>
      <c r="F49" s="1">
        <v>45336</v>
      </c>
      <c r="G49">
        <v>0.183</v>
      </c>
      <c r="H49">
        <v>0.40300000000000002</v>
      </c>
      <c r="I49" t="str">
        <f>("10662671610215")</f>
        <v>10662671610215</v>
      </c>
      <c r="J49">
        <v>12</v>
      </c>
      <c r="K49">
        <v>576</v>
      </c>
    </row>
    <row r="50" spans="1:11" x14ac:dyDescent="0.3">
      <c r="A50" t="s">
        <v>10</v>
      </c>
      <c r="B50" t="str">
        <f>("662671610225")</f>
        <v>662671610225</v>
      </c>
      <c r="C50" t="s">
        <v>104</v>
      </c>
      <c r="D50" t="s">
        <v>105</v>
      </c>
      <c r="E50">
        <v>9.65</v>
      </c>
      <c r="F50" s="1">
        <v>45336</v>
      </c>
      <c r="G50">
        <v>0.18099999999999999</v>
      </c>
      <c r="H50">
        <v>0.39900000000000002</v>
      </c>
      <c r="I50" t="str">
        <f>("10662671610222")</f>
        <v>10662671610222</v>
      </c>
      <c r="J50">
        <v>12</v>
      </c>
      <c r="K50">
        <v>576</v>
      </c>
    </row>
    <row r="51" spans="1:11" x14ac:dyDescent="0.3">
      <c r="A51" t="s">
        <v>10</v>
      </c>
      <c r="B51" t="str">
        <f>("662671610232")</f>
        <v>662671610232</v>
      </c>
      <c r="C51" t="s">
        <v>106</v>
      </c>
      <c r="D51" t="s">
        <v>107</v>
      </c>
      <c r="E51">
        <v>9.77</v>
      </c>
      <c r="F51" s="1">
        <v>45336</v>
      </c>
      <c r="G51">
        <v>0.27800000000000002</v>
      </c>
      <c r="H51">
        <v>0.61299999999999999</v>
      </c>
      <c r="I51" t="str">
        <f>("30662671610233")</f>
        <v>30662671610233</v>
      </c>
      <c r="J51">
        <v>12</v>
      </c>
      <c r="K51">
        <v>384</v>
      </c>
    </row>
    <row r="52" spans="1:11" x14ac:dyDescent="0.3">
      <c r="A52" t="s">
        <v>10</v>
      </c>
      <c r="B52" t="str">
        <f>("662671610577")</f>
        <v>662671610577</v>
      </c>
      <c r="C52" t="s">
        <v>108</v>
      </c>
      <c r="D52" t="s">
        <v>109</v>
      </c>
      <c r="E52">
        <v>9.77</v>
      </c>
      <c r="F52" s="1">
        <v>45336</v>
      </c>
      <c r="G52">
        <v>0.27800000000000002</v>
      </c>
      <c r="H52">
        <v>0.61299999999999999</v>
      </c>
      <c r="I52" t="str">
        <f>("30662671610578")</f>
        <v>30662671610578</v>
      </c>
      <c r="J52">
        <v>12</v>
      </c>
      <c r="K52">
        <v>384</v>
      </c>
    </row>
    <row r="53" spans="1:11" x14ac:dyDescent="0.3">
      <c r="A53" t="s">
        <v>10</v>
      </c>
      <c r="B53" t="str">
        <f>("662671610249")</f>
        <v>662671610249</v>
      </c>
      <c r="C53" t="s">
        <v>110</v>
      </c>
      <c r="D53" t="s">
        <v>111</v>
      </c>
      <c r="E53">
        <v>10.09</v>
      </c>
      <c r="F53" s="1">
        <v>45336</v>
      </c>
      <c r="G53">
        <v>0.318</v>
      </c>
      <c r="H53">
        <v>0.70099999999999996</v>
      </c>
      <c r="I53" t="str">
        <f>("30662671610240")</f>
        <v>30662671610240</v>
      </c>
      <c r="J53">
        <v>12</v>
      </c>
      <c r="K53">
        <v>384</v>
      </c>
    </row>
    <row r="54" spans="1:11" x14ac:dyDescent="0.3">
      <c r="A54" t="s">
        <v>10</v>
      </c>
      <c r="B54" t="str">
        <f>("662671550408")</f>
        <v>662671550408</v>
      </c>
      <c r="C54" t="s">
        <v>112</v>
      </c>
      <c r="D54" t="s">
        <v>113</v>
      </c>
      <c r="E54">
        <v>13.39</v>
      </c>
      <c r="F54" s="1">
        <v>45336</v>
      </c>
      <c r="G54">
        <v>0.183</v>
      </c>
      <c r="H54">
        <v>0.40300000000000002</v>
      </c>
      <c r="I54" t="str">
        <f>("10662671550405")</f>
        <v>10662671550405</v>
      </c>
      <c r="J54">
        <v>12</v>
      </c>
      <c r="K54">
        <v>576</v>
      </c>
    </row>
    <row r="55" spans="1:11" x14ac:dyDescent="0.3">
      <c r="A55" t="s">
        <v>10</v>
      </c>
      <c r="B55" t="str">
        <f>("662671550385")</f>
        <v>662671550385</v>
      </c>
      <c r="C55" t="s">
        <v>114</v>
      </c>
      <c r="D55" t="s">
        <v>115</v>
      </c>
      <c r="E55">
        <v>8.8699999999999992</v>
      </c>
      <c r="F55" s="1">
        <v>45336</v>
      </c>
      <c r="G55">
        <v>0.28399999999999997</v>
      </c>
      <c r="H55">
        <v>0.626</v>
      </c>
      <c r="I55" t="str">
        <f>("30662671550386")</f>
        <v>30662671550386</v>
      </c>
      <c r="J55">
        <v>12</v>
      </c>
      <c r="K55">
        <v>384</v>
      </c>
    </row>
    <row r="56" spans="1:11" x14ac:dyDescent="0.3">
      <c r="A56" t="s">
        <v>10</v>
      </c>
      <c r="B56" t="str">
        <f>("662671058676")</f>
        <v>662671058676</v>
      </c>
      <c r="C56" t="s">
        <v>116</v>
      </c>
      <c r="D56" t="s">
        <v>117</v>
      </c>
      <c r="E56">
        <v>8.1300000000000008</v>
      </c>
      <c r="F56" s="1">
        <v>45336</v>
      </c>
      <c r="G56">
        <v>0.28399999999999997</v>
      </c>
      <c r="H56">
        <v>0.626</v>
      </c>
      <c r="I56" t="str">
        <f>("10662671058673")</f>
        <v>10662671058673</v>
      </c>
      <c r="J56">
        <v>40</v>
      </c>
      <c r="K56">
        <v>640</v>
      </c>
    </row>
    <row r="57" spans="1:11" x14ac:dyDescent="0.3">
      <c r="A57" t="s">
        <v>10</v>
      </c>
      <c r="B57" t="str">
        <f>("662671060471")</f>
        <v>662671060471</v>
      </c>
      <c r="C57" t="s">
        <v>118</v>
      </c>
      <c r="D57" t="s">
        <v>119</v>
      </c>
      <c r="E57">
        <v>8.8699999999999992</v>
      </c>
      <c r="F57" s="1">
        <v>45336</v>
      </c>
      <c r="G57">
        <v>0.28399999999999997</v>
      </c>
      <c r="H57">
        <v>0.626</v>
      </c>
      <c r="I57" t="str">
        <f>("30662671060472")</f>
        <v>30662671060472</v>
      </c>
      <c r="J57">
        <v>12</v>
      </c>
      <c r="K57">
        <v>384</v>
      </c>
    </row>
    <row r="58" spans="1:11" x14ac:dyDescent="0.3">
      <c r="A58" t="s">
        <v>10</v>
      </c>
      <c r="B58" t="str">
        <f>("662671072986")</f>
        <v>662671072986</v>
      </c>
      <c r="C58" t="s">
        <v>120</v>
      </c>
      <c r="D58" t="s">
        <v>121</v>
      </c>
      <c r="E58">
        <v>16.559999999999999</v>
      </c>
      <c r="F58" s="1">
        <v>45336</v>
      </c>
      <c r="G58">
        <v>0.33100000000000002</v>
      </c>
      <c r="H58">
        <v>0.73</v>
      </c>
      <c r="I58" t="str">
        <f>("10662671072983")</f>
        <v>10662671072983</v>
      </c>
      <c r="J58">
        <v>12</v>
      </c>
      <c r="K58">
        <v>192</v>
      </c>
    </row>
    <row r="59" spans="1:11" x14ac:dyDescent="0.3">
      <c r="A59" t="s">
        <v>10</v>
      </c>
      <c r="B59" t="str">
        <f>("662671601742")</f>
        <v>662671601742</v>
      </c>
      <c r="C59" t="s">
        <v>122</v>
      </c>
      <c r="D59" t="s">
        <v>123</v>
      </c>
      <c r="E59">
        <v>81.16</v>
      </c>
      <c r="F59" s="1">
        <v>45336</v>
      </c>
      <c r="G59">
        <v>1.206</v>
      </c>
      <c r="H59">
        <v>2.6589999999999998</v>
      </c>
      <c r="I59" t="str">
        <f>("10662671601749")</f>
        <v>10662671601749</v>
      </c>
      <c r="J59">
        <v>1</v>
      </c>
      <c r="K59">
        <v>24</v>
      </c>
    </row>
    <row r="60" spans="1:11" x14ac:dyDescent="0.3">
      <c r="A60" t="s">
        <v>10</v>
      </c>
      <c r="B60" t="str">
        <f>("662671601759")</f>
        <v>662671601759</v>
      </c>
      <c r="C60" t="s">
        <v>124</v>
      </c>
      <c r="D60" t="s">
        <v>125</v>
      </c>
      <c r="E60">
        <v>81.16</v>
      </c>
      <c r="F60" s="1">
        <v>45336</v>
      </c>
      <c r="G60">
        <v>1.206</v>
      </c>
      <c r="H60">
        <v>2.6589999999999998</v>
      </c>
      <c r="I60" t="str">
        <f>("10662671601756")</f>
        <v>10662671601756</v>
      </c>
      <c r="J60">
        <v>1</v>
      </c>
      <c r="K60">
        <v>24</v>
      </c>
    </row>
    <row r="61" spans="1:11" x14ac:dyDescent="0.3">
      <c r="A61" t="s">
        <v>10</v>
      </c>
      <c r="B61" t="str">
        <f>("662671601773")</f>
        <v>662671601773</v>
      </c>
      <c r="C61" t="s">
        <v>126</v>
      </c>
      <c r="D61" t="s">
        <v>127</v>
      </c>
      <c r="E61">
        <v>81.16</v>
      </c>
      <c r="F61" s="1">
        <v>45336</v>
      </c>
      <c r="G61">
        <v>1.206</v>
      </c>
      <c r="H61">
        <v>2.6589999999999998</v>
      </c>
      <c r="I61" t="str">
        <f>("10662671601770")</f>
        <v>10662671601770</v>
      </c>
      <c r="J61">
        <v>1</v>
      </c>
      <c r="K61">
        <v>24</v>
      </c>
    </row>
    <row r="62" spans="1:11" x14ac:dyDescent="0.3">
      <c r="A62" t="s">
        <v>10</v>
      </c>
      <c r="B62" t="str">
        <f>("662671601766")</f>
        <v>662671601766</v>
      </c>
      <c r="C62" t="s">
        <v>128</v>
      </c>
      <c r="D62" t="s">
        <v>129</v>
      </c>
      <c r="E62">
        <v>81.16</v>
      </c>
      <c r="F62" s="1">
        <v>45336</v>
      </c>
      <c r="G62">
        <v>1.206</v>
      </c>
      <c r="H62">
        <v>2.6589999999999998</v>
      </c>
      <c r="I62" t="str">
        <f>("10662671601763")</f>
        <v>10662671601763</v>
      </c>
      <c r="J62">
        <v>1</v>
      </c>
      <c r="K62">
        <v>24</v>
      </c>
    </row>
    <row r="63" spans="1:11" x14ac:dyDescent="0.3">
      <c r="A63" t="s">
        <v>10</v>
      </c>
      <c r="B63" t="str">
        <f>("662671600967")</f>
        <v>662671600967</v>
      </c>
      <c r="C63" t="s">
        <v>130</v>
      </c>
      <c r="D63" t="s">
        <v>131</v>
      </c>
      <c r="E63">
        <v>5.9</v>
      </c>
      <c r="F63" s="1">
        <v>45336</v>
      </c>
      <c r="G63">
        <v>0.14199999999999999</v>
      </c>
      <c r="H63">
        <v>0.313</v>
      </c>
      <c r="I63" t="str">
        <f>("10662671600964")</f>
        <v>10662671600964</v>
      </c>
      <c r="J63">
        <v>8</v>
      </c>
      <c r="K63">
        <v>384</v>
      </c>
    </row>
    <row r="64" spans="1:11" x14ac:dyDescent="0.3">
      <c r="A64" t="s">
        <v>10</v>
      </c>
      <c r="B64" t="str">
        <f>("662671075215")</f>
        <v>662671075215</v>
      </c>
      <c r="C64" t="s">
        <v>132</v>
      </c>
      <c r="D64" t="s">
        <v>133</v>
      </c>
      <c r="E64">
        <v>16.7</v>
      </c>
      <c r="F64" s="1">
        <v>45336</v>
      </c>
      <c r="G64">
        <v>0.32800000000000001</v>
      </c>
      <c r="H64">
        <v>0.72299999999999998</v>
      </c>
      <c r="I64" t="str">
        <f>("10662671075212")</f>
        <v>10662671075212</v>
      </c>
      <c r="J64">
        <v>10</v>
      </c>
      <c r="K64">
        <v>150</v>
      </c>
    </row>
    <row r="65" spans="1:11" x14ac:dyDescent="0.3">
      <c r="A65" t="s">
        <v>10</v>
      </c>
      <c r="B65" t="str">
        <f>("662671075222")</f>
        <v>662671075222</v>
      </c>
      <c r="C65" t="s">
        <v>134</v>
      </c>
      <c r="D65" t="s">
        <v>135</v>
      </c>
      <c r="E65">
        <v>16.7</v>
      </c>
      <c r="F65" s="1">
        <v>45336</v>
      </c>
      <c r="G65">
        <v>0.32800000000000001</v>
      </c>
      <c r="H65">
        <v>0.72299999999999998</v>
      </c>
      <c r="I65" t="str">
        <f>("10662671075229")</f>
        <v>10662671075229</v>
      </c>
      <c r="J65">
        <v>10</v>
      </c>
      <c r="K65">
        <v>150</v>
      </c>
    </row>
    <row r="66" spans="1:11" x14ac:dyDescent="0.3">
      <c r="A66" t="s">
        <v>10</v>
      </c>
      <c r="B66" t="str">
        <f>("662671075246")</f>
        <v>662671075246</v>
      </c>
      <c r="C66" t="s">
        <v>136</v>
      </c>
      <c r="D66" t="s">
        <v>137</v>
      </c>
      <c r="E66">
        <v>16.7</v>
      </c>
      <c r="F66" s="1">
        <v>45336</v>
      </c>
      <c r="G66">
        <v>0.32800000000000001</v>
      </c>
      <c r="H66">
        <v>0.72299999999999998</v>
      </c>
      <c r="I66" t="str">
        <f>("10662671075243")</f>
        <v>10662671075243</v>
      </c>
      <c r="J66">
        <v>10</v>
      </c>
      <c r="K66">
        <v>150</v>
      </c>
    </row>
    <row r="67" spans="1:11" x14ac:dyDescent="0.3">
      <c r="A67" t="s">
        <v>10</v>
      </c>
      <c r="B67" t="str">
        <f>("662671068972")</f>
        <v>662671068972</v>
      </c>
      <c r="C67" t="s">
        <v>138</v>
      </c>
      <c r="D67" t="s">
        <v>139</v>
      </c>
      <c r="E67">
        <v>6.87</v>
      </c>
      <c r="F67" s="1">
        <v>45336</v>
      </c>
      <c r="G67">
        <v>0.26600000000000001</v>
      </c>
      <c r="H67">
        <v>0.58599999999999997</v>
      </c>
      <c r="I67" t="str">
        <f>("10662671068979")</f>
        <v>10662671068979</v>
      </c>
      <c r="J67">
        <v>8</v>
      </c>
      <c r="K67">
        <v>144</v>
      </c>
    </row>
    <row r="68" spans="1:11" x14ac:dyDescent="0.3">
      <c r="A68" t="s">
        <v>10</v>
      </c>
      <c r="B68" t="str">
        <f>("662671026132")</f>
        <v>662671026132</v>
      </c>
      <c r="C68" t="s">
        <v>140</v>
      </c>
      <c r="D68" t="s">
        <v>141</v>
      </c>
      <c r="E68">
        <v>129.83000000000001</v>
      </c>
      <c r="F68" s="1">
        <v>45336</v>
      </c>
      <c r="G68">
        <v>4.5</v>
      </c>
      <c r="H68">
        <v>9.9209999999999994</v>
      </c>
      <c r="I68" t="str">
        <f>("00662671026132")</f>
        <v>00662671026132</v>
      </c>
      <c r="J68">
        <v>1</v>
      </c>
      <c r="K68">
        <v>18</v>
      </c>
    </row>
    <row r="69" spans="1:11" x14ac:dyDescent="0.3">
      <c r="A69" t="s">
        <v>10</v>
      </c>
      <c r="B69" t="str">
        <f>("662671026149")</f>
        <v>662671026149</v>
      </c>
      <c r="C69" t="s">
        <v>142</v>
      </c>
      <c r="D69" t="s">
        <v>143</v>
      </c>
      <c r="E69">
        <v>142.69</v>
      </c>
      <c r="F69" s="1">
        <v>45336</v>
      </c>
      <c r="G69">
        <v>4.6310000000000002</v>
      </c>
      <c r="H69">
        <v>10.210000000000001</v>
      </c>
      <c r="I69" t="str">
        <f>("00662671026149")</f>
        <v>00662671026149</v>
      </c>
      <c r="J69">
        <v>1</v>
      </c>
      <c r="K69">
        <v>18</v>
      </c>
    </row>
    <row r="70" spans="1:11" x14ac:dyDescent="0.3">
      <c r="A70" t="s">
        <v>10</v>
      </c>
      <c r="B70" t="str">
        <f>("662671069177")</f>
        <v>662671069177</v>
      </c>
      <c r="C70" t="s">
        <v>144</v>
      </c>
      <c r="D70" t="s">
        <v>145</v>
      </c>
      <c r="E70">
        <v>9.67</v>
      </c>
      <c r="F70" s="1">
        <v>45336</v>
      </c>
      <c r="G70">
        <v>0.23799999999999999</v>
      </c>
      <c r="H70">
        <v>0.52500000000000002</v>
      </c>
      <c r="I70" t="str">
        <f>("30662671069178")</f>
        <v>30662671069178</v>
      </c>
      <c r="J70">
        <v>8</v>
      </c>
      <c r="K70">
        <v>144</v>
      </c>
    </row>
    <row r="71" spans="1:11" x14ac:dyDescent="0.3">
      <c r="A71" t="s">
        <v>10</v>
      </c>
      <c r="B71" t="str">
        <f>("662671069979")</f>
        <v>662671069979</v>
      </c>
      <c r="C71" t="s">
        <v>146</v>
      </c>
      <c r="D71" t="s">
        <v>147</v>
      </c>
      <c r="E71">
        <v>49.84</v>
      </c>
      <c r="F71" s="1">
        <v>45336</v>
      </c>
      <c r="G71">
        <v>1.2150000000000001</v>
      </c>
      <c r="H71">
        <v>2.6789999999999998</v>
      </c>
      <c r="I71" t="str">
        <f>("00662671069979")</f>
        <v>00662671069979</v>
      </c>
      <c r="J71">
        <v>1</v>
      </c>
      <c r="K71">
        <v>24</v>
      </c>
    </row>
    <row r="72" spans="1:11" x14ac:dyDescent="0.3">
      <c r="A72" t="s">
        <v>10</v>
      </c>
      <c r="B72" t="str">
        <f>("662671069986")</f>
        <v>662671069986</v>
      </c>
      <c r="C72" t="s">
        <v>148</v>
      </c>
      <c r="D72" t="s">
        <v>149</v>
      </c>
      <c r="E72">
        <v>49.84</v>
      </c>
      <c r="F72" s="1">
        <v>45336</v>
      </c>
      <c r="G72">
        <v>1.28</v>
      </c>
      <c r="H72">
        <v>2.8220000000000001</v>
      </c>
      <c r="I72" t="str">
        <f>("00662671069986")</f>
        <v>00662671069986</v>
      </c>
      <c r="J72">
        <v>1</v>
      </c>
      <c r="K72">
        <v>24</v>
      </c>
    </row>
    <row r="73" spans="1:11" x14ac:dyDescent="0.3">
      <c r="A73" t="s">
        <v>10</v>
      </c>
      <c r="B73" t="str">
        <f>("662671070012")</f>
        <v>662671070012</v>
      </c>
      <c r="C73" t="s">
        <v>150</v>
      </c>
      <c r="D73" t="s">
        <v>151</v>
      </c>
      <c r="E73">
        <v>42.81</v>
      </c>
      <c r="F73" s="1">
        <v>45336</v>
      </c>
      <c r="G73">
        <v>0.97699999999999998</v>
      </c>
      <c r="H73">
        <v>2.1539999999999999</v>
      </c>
      <c r="I73" t="str">
        <f>("00662671070012")</f>
        <v>00662671070012</v>
      </c>
      <c r="J73">
        <v>1</v>
      </c>
      <c r="K73">
        <v>24</v>
      </c>
    </row>
    <row r="74" spans="1:11" x14ac:dyDescent="0.3">
      <c r="A74" t="s">
        <v>10</v>
      </c>
      <c r="B74" t="str">
        <f>("662671070029")</f>
        <v>662671070029</v>
      </c>
      <c r="C74" t="s">
        <v>152</v>
      </c>
      <c r="D74" t="s">
        <v>153</v>
      </c>
      <c r="E74">
        <v>42.81</v>
      </c>
      <c r="F74" s="1">
        <v>45336</v>
      </c>
      <c r="G74">
        <v>1.042</v>
      </c>
      <c r="H74">
        <v>2.2970000000000002</v>
      </c>
      <c r="I74" t="str">
        <f>("00662671070029")</f>
        <v>00662671070029</v>
      </c>
      <c r="J74">
        <v>1</v>
      </c>
      <c r="K74">
        <v>24</v>
      </c>
    </row>
    <row r="75" spans="1:11" x14ac:dyDescent="0.3">
      <c r="A75" t="s">
        <v>10</v>
      </c>
      <c r="B75" t="str">
        <f>("662671069207")</f>
        <v>662671069207</v>
      </c>
      <c r="C75" t="s">
        <v>154</v>
      </c>
      <c r="D75" t="s">
        <v>155</v>
      </c>
      <c r="E75">
        <v>17.82</v>
      </c>
      <c r="F75" s="1">
        <v>45336</v>
      </c>
      <c r="G75">
        <v>0.27500000000000002</v>
      </c>
      <c r="H75">
        <v>0.60599999999999998</v>
      </c>
      <c r="I75" t="str">
        <f>("10662671069204")</f>
        <v>10662671069204</v>
      </c>
      <c r="J75">
        <v>4</v>
      </c>
      <c r="K75">
        <v>72</v>
      </c>
    </row>
    <row r="76" spans="1:11" x14ac:dyDescent="0.3">
      <c r="A76" t="s">
        <v>10</v>
      </c>
      <c r="B76" t="str">
        <f>("662671075642")</f>
        <v>662671075642</v>
      </c>
      <c r="C76" t="s">
        <v>156</v>
      </c>
      <c r="D76" t="s">
        <v>157</v>
      </c>
      <c r="E76">
        <v>15.9</v>
      </c>
      <c r="F76" s="1">
        <v>45336</v>
      </c>
      <c r="G76">
        <v>0.55200000000000005</v>
      </c>
      <c r="H76">
        <v>1.2170000000000001</v>
      </c>
      <c r="I76" t="str">
        <f>("10662671075649")</f>
        <v>10662671075649</v>
      </c>
      <c r="J76">
        <v>8</v>
      </c>
      <c r="K76">
        <v>64</v>
      </c>
    </row>
    <row r="77" spans="1:11" x14ac:dyDescent="0.3">
      <c r="A77" t="s">
        <v>10</v>
      </c>
      <c r="B77" t="str">
        <f>("662671075659")</f>
        <v>662671075659</v>
      </c>
      <c r="C77" t="s">
        <v>158</v>
      </c>
      <c r="D77" t="s">
        <v>159</v>
      </c>
      <c r="E77">
        <v>15.9</v>
      </c>
      <c r="F77" s="1">
        <v>45336</v>
      </c>
      <c r="G77">
        <v>0.55200000000000005</v>
      </c>
      <c r="H77">
        <v>1.2170000000000001</v>
      </c>
      <c r="I77" t="str">
        <f>("10662671075656")</f>
        <v>10662671075656</v>
      </c>
      <c r="J77">
        <v>8</v>
      </c>
      <c r="K77">
        <v>64</v>
      </c>
    </row>
    <row r="78" spans="1:11" x14ac:dyDescent="0.3">
      <c r="A78" t="s">
        <v>10</v>
      </c>
      <c r="B78" t="str">
        <f>("662671075666")</f>
        <v>662671075666</v>
      </c>
      <c r="C78" t="s">
        <v>160</v>
      </c>
      <c r="D78" t="s">
        <v>161</v>
      </c>
      <c r="E78">
        <v>15.9</v>
      </c>
      <c r="F78" s="1">
        <v>45336</v>
      </c>
      <c r="G78">
        <v>0.57899999999999996</v>
      </c>
      <c r="H78">
        <v>1.276</v>
      </c>
      <c r="I78" t="str">
        <f>("10662671075663")</f>
        <v>10662671075663</v>
      </c>
      <c r="J78">
        <v>8</v>
      </c>
      <c r="K78">
        <v>64</v>
      </c>
    </row>
    <row r="79" spans="1:11" x14ac:dyDescent="0.3">
      <c r="A79" t="s">
        <v>10</v>
      </c>
      <c r="B79" t="str">
        <f>("662671075673")</f>
        <v>662671075673</v>
      </c>
      <c r="C79" t="s">
        <v>162</v>
      </c>
      <c r="D79" t="s">
        <v>163</v>
      </c>
      <c r="E79">
        <v>15.9</v>
      </c>
      <c r="F79" s="1">
        <v>45336</v>
      </c>
      <c r="G79">
        <v>0.55200000000000005</v>
      </c>
      <c r="H79">
        <v>1.2170000000000001</v>
      </c>
      <c r="I79" t="str">
        <f>("10662671075670")</f>
        <v>10662671075670</v>
      </c>
      <c r="J79">
        <v>8</v>
      </c>
      <c r="K79">
        <v>64</v>
      </c>
    </row>
    <row r="80" spans="1:11" x14ac:dyDescent="0.3">
      <c r="A80" t="s">
        <v>10</v>
      </c>
      <c r="B80" t="str">
        <f>("662671075703")</f>
        <v>662671075703</v>
      </c>
      <c r="C80" t="s">
        <v>164</v>
      </c>
      <c r="D80" t="s">
        <v>165</v>
      </c>
      <c r="E80">
        <v>18.649999999999999</v>
      </c>
      <c r="F80" s="1">
        <v>45336</v>
      </c>
      <c r="G80">
        <v>0.94699999999999995</v>
      </c>
      <c r="H80">
        <v>2.0880000000000001</v>
      </c>
      <c r="I80" t="str">
        <f>("10662671075700")</f>
        <v>10662671075700</v>
      </c>
      <c r="J80">
        <v>14</v>
      </c>
      <c r="K80">
        <v>126</v>
      </c>
    </row>
    <row r="81" spans="1:11" x14ac:dyDescent="0.3">
      <c r="A81" t="s">
        <v>10</v>
      </c>
      <c r="B81" t="str">
        <f>("662671601872")</f>
        <v>662671601872</v>
      </c>
      <c r="C81" t="s">
        <v>166</v>
      </c>
      <c r="D81" t="s">
        <v>167</v>
      </c>
      <c r="E81">
        <v>21.26</v>
      </c>
      <c r="F81" s="1">
        <v>45336</v>
      </c>
      <c r="G81">
        <v>1.077</v>
      </c>
      <c r="H81">
        <v>2.3740000000000001</v>
      </c>
      <c r="I81" t="str">
        <f>("10662671601879")</f>
        <v>10662671601879</v>
      </c>
      <c r="J81">
        <v>12</v>
      </c>
      <c r="K81">
        <v>108</v>
      </c>
    </row>
    <row r="82" spans="1:11" x14ac:dyDescent="0.3">
      <c r="A82" t="s">
        <v>10</v>
      </c>
      <c r="B82" t="str">
        <f>("662671066824")</f>
        <v>662671066824</v>
      </c>
      <c r="C82" t="s">
        <v>168</v>
      </c>
      <c r="D82" t="s">
        <v>169</v>
      </c>
      <c r="E82">
        <v>157.21</v>
      </c>
      <c r="F82" s="1">
        <v>45336</v>
      </c>
      <c r="G82">
        <v>2.4590000000000001</v>
      </c>
      <c r="H82">
        <v>5.4210000000000003</v>
      </c>
      <c r="I82" t="str">
        <f>("00662671066824")</f>
        <v>00662671066824</v>
      </c>
      <c r="J82">
        <v>1</v>
      </c>
      <c r="K82">
        <v>12</v>
      </c>
    </row>
    <row r="83" spans="1:11" x14ac:dyDescent="0.3">
      <c r="A83" t="s">
        <v>10</v>
      </c>
      <c r="B83" t="str">
        <f>("662671066831")</f>
        <v>662671066831</v>
      </c>
      <c r="C83" t="s">
        <v>170</v>
      </c>
      <c r="D83" t="s">
        <v>171</v>
      </c>
      <c r="E83">
        <v>157.21</v>
      </c>
      <c r="F83" s="1">
        <v>45336</v>
      </c>
      <c r="G83">
        <v>2.4590000000000001</v>
      </c>
      <c r="H83">
        <v>5.4210000000000003</v>
      </c>
      <c r="I83" t="str">
        <f>("00662671066831")</f>
        <v>00662671066831</v>
      </c>
      <c r="J83">
        <v>1</v>
      </c>
      <c r="K83">
        <v>12</v>
      </c>
    </row>
    <row r="84" spans="1:11" x14ac:dyDescent="0.3">
      <c r="A84" t="s">
        <v>10</v>
      </c>
      <c r="B84" t="str">
        <f>("662671066848")</f>
        <v>662671066848</v>
      </c>
      <c r="C84" t="s">
        <v>172</v>
      </c>
      <c r="D84" t="s">
        <v>173</v>
      </c>
      <c r="E84">
        <v>157.21</v>
      </c>
      <c r="F84" s="1">
        <v>45336</v>
      </c>
      <c r="G84">
        <v>2.4590000000000001</v>
      </c>
      <c r="H84">
        <v>5.4210000000000003</v>
      </c>
      <c r="I84" t="str">
        <f>("00662671066848")</f>
        <v>00662671066848</v>
      </c>
      <c r="J84">
        <v>1</v>
      </c>
      <c r="K84">
        <v>12</v>
      </c>
    </row>
    <row r="85" spans="1:11" x14ac:dyDescent="0.3">
      <c r="A85" t="s">
        <v>10</v>
      </c>
      <c r="B85" t="str">
        <f>("662671066855")</f>
        <v>662671066855</v>
      </c>
      <c r="C85" t="s">
        <v>174</v>
      </c>
      <c r="D85" t="s">
        <v>175</v>
      </c>
      <c r="E85">
        <v>157.21</v>
      </c>
      <c r="F85" s="1">
        <v>45336</v>
      </c>
      <c r="G85">
        <v>2.4590000000000001</v>
      </c>
      <c r="H85">
        <v>5.4210000000000003</v>
      </c>
      <c r="I85" t="str">
        <f>("00662671066855")</f>
        <v>00662671066855</v>
      </c>
      <c r="J85">
        <v>1</v>
      </c>
      <c r="K85">
        <v>12</v>
      </c>
    </row>
    <row r="86" spans="1:11" x14ac:dyDescent="0.3">
      <c r="A86" t="s">
        <v>10</v>
      </c>
      <c r="B86" t="str">
        <f>("662671068286")</f>
        <v>662671068286</v>
      </c>
      <c r="C86" t="s">
        <v>176</v>
      </c>
      <c r="D86" t="s">
        <v>177</v>
      </c>
      <c r="E86">
        <v>182.5</v>
      </c>
      <c r="F86" s="1">
        <v>45336</v>
      </c>
      <c r="G86">
        <v>3.6150000000000002</v>
      </c>
      <c r="H86">
        <v>7.97</v>
      </c>
      <c r="I86" t="str">
        <f>("10662671068283")</f>
        <v>10662671068283</v>
      </c>
      <c r="J86">
        <v>1</v>
      </c>
      <c r="K86">
        <v>12</v>
      </c>
    </row>
    <row r="87" spans="1:11" x14ac:dyDescent="0.3">
      <c r="A87" t="s">
        <v>10</v>
      </c>
      <c r="B87" t="str">
        <f>("662671068293")</f>
        <v>662671068293</v>
      </c>
      <c r="C87" t="s">
        <v>178</v>
      </c>
      <c r="D87" t="s">
        <v>179</v>
      </c>
      <c r="E87">
        <v>182.5</v>
      </c>
      <c r="F87" s="1">
        <v>45336</v>
      </c>
      <c r="G87">
        <v>3.6150000000000002</v>
      </c>
      <c r="H87">
        <v>7.97</v>
      </c>
      <c r="I87" t="str">
        <f>("10662671068290")</f>
        <v>10662671068290</v>
      </c>
      <c r="J87">
        <v>1</v>
      </c>
      <c r="K87">
        <v>12</v>
      </c>
    </row>
    <row r="88" spans="1:11" x14ac:dyDescent="0.3">
      <c r="A88" t="s">
        <v>10</v>
      </c>
      <c r="B88" t="str">
        <f>("662671068309")</f>
        <v>662671068309</v>
      </c>
      <c r="C88" t="s">
        <v>180</v>
      </c>
      <c r="D88" t="s">
        <v>181</v>
      </c>
      <c r="E88">
        <v>182.5</v>
      </c>
      <c r="F88" s="1">
        <v>45336</v>
      </c>
      <c r="G88">
        <v>3.6150000000000002</v>
      </c>
      <c r="H88">
        <v>7.97</v>
      </c>
      <c r="I88" t="str">
        <f>("10662671068306")</f>
        <v>10662671068306</v>
      </c>
      <c r="J88">
        <v>1</v>
      </c>
      <c r="K88">
        <v>12</v>
      </c>
    </row>
    <row r="89" spans="1:11" x14ac:dyDescent="0.3">
      <c r="A89" t="s">
        <v>10</v>
      </c>
      <c r="B89" t="str">
        <f>("662671068316")</f>
        <v>662671068316</v>
      </c>
      <c r="C89" t="s">
        <v>182</v>
      </c>
      <c r="D89" t="s">
        <v>183</v>
      </c>
      <c r="E89">
        <v>182.5</v>
      </c>
      <c r="F89" s="1">
        <v>45336</v>
      </c>
      <c r="G89">
        <v>3.6150000000000002</v>
      </c>
      <c r="H89">
        <v>7.97</v>
      </c>
      <c r="I89" t="str">
        <f>("10662671068313")</f>
        <v>10662671068313</v>
      </c>
      <c r="J89">
        <v>1</v>
      </c>
      <c r="K89">
        <v>12</v>
      </c>
    </row>
    <row r="90" spans="1:11" x14ac:dyDescent="0.3">
      <c r="A90" t="s">
        <v>10</v>
      </c>
      <c r="B90" t="str">
        <f>("662671067777")</f>
        <v>662671067777</v>
      </c>
      <c r="C90" t="s">
        <v>184</v>
      </c>
      <c r="D90" t="s">
        <v>185</v>
      </c>
      <c r="E90">
        <v>248.21</v>
      </c>
      <c r="F90" s="1">
        <v>45336</v>
      </c>
      <c r="G90">
        <v>4.774</v>
      </c>
      <c r="H90">
        <v>10.525</v>
      </c>
      <c r="I90" t="str">
        <f>("10662671067774")</f>
        <v>10662671067774</v>
      </c>
      <c r="J90">
        <v>1</v>
      </c>
      <c r="K90">
        <v>8</v>
      </c>
    </row>
    <row r="91" spans="1:11" x14ac:dyDescent="0.3">
      <c r="A91" t="s">
        <v>10</v>
      </c>
      <c r="B91" t="str">
        <f>("662671067784")</f>
        <v>662671067784</v>
      </c>
      <c r="C91" t="s">
        <v>186</v>
      </c>
      <c r="D91" t="s">
        <v>187</v>
      </c>
      <c r="E91">
        <v>248.21</v>
      </c>
      <c r="F91" s="1">
        <v>45336</v>
      </c>
      <c r="G91">
        <v>4.774</v>
      </c>
      <c r="H91">
        <v>10.525</v>
      </c>
      <c r="I91" t="str">
        <f>("10662671067781")</f>
        <v>10662671067781</v>
      </c>
      <c r="J91">
        <v>1</v>
      </c>
      <c r="K91">
        <v>8</v>
      </c>
    </row>
    <row r="92" spans="1:11" x14ac:dyDescent="0.3">
      <c r="A92" t="s">
        <v>10</v>
      </c>
      <c r="B92" t="str">
        <f>("662671067791")</f>
        <v>662671067791</v>
      </c>
      <c r="C92" t="s">
        <v>188</v>
      </c>
      <c r="D92" t="s">
        <v>189</v>
      </c>
      <c r="E92">
        <v>248.21</v>
      </c>
      <c r="F92" s="1">
        <v>45336</v>
      </c>
      <c r="G92">
        <v>4.774</v>
      </c>
      <c r="H92">
        <v>10.525</v>
      </c>
      <c r="I92" t="str">
        <f>("10662671067798")</f>
        <v>10662671067798</v>
      </c>
      <c r="J92">
        <v>1</v>
      </c>
      <c r="K92">
        <v>8</v>
      </c>
    </row>
    <row r="93" spans="1:11" x14ac:dyDescent="0.3">
      <c r="A93" t="s">
        <v>10</v>
      </c>
      <c r="B93" t="str">
        <f>("662671067807")</f>
        <v>662671067807</v>
      </c>
      <c r="C93" t="s">
        <v>190</v>
      </c>
      <c r="D93" t="s">
        <v>191</v>
      </c>
      <c r="E93">
        <v>248.21</v>
      </c>
      <c r="F93" s="1">
        <v>45336</v>
      </c>
      <c r="G93">
        <v>4.774</v>
      </c>
      <c r="H93">
        <v>10.525</v>
      </c>
      <c r="I93" t="str">
        <f>("10662671067804")</f>
        <v>10662671067804</v>
      </c>
      <c r="J93">
        <v>1</v>
      </c>
      <c r="K93">
        <v>8</v>
      </c>
    </row>
    <row r="94" spans="1:11" x14ac:dyDescent="0.3">
      <c r="A94" t="s">
        <v>10</v>
      </c>
      <c r="B94" t="str">
        <f>("662671063069")</f>
        <v>662671063069</v>
      </c>
      <c r="C94" t="s">
        <v>192</v>
      </c>
      <c r="D94" t="s">
        <v>193</v>
      </c>
      <c r="E94">
        <v>275.41000000000003</v>
      </c>
      <c r="F94" s="1">
        <v>45336</v>
      </c>
      <c r="G94">
        <v>5.9329999999999998</v>
      </c>
      <c r="H94">
        <v>13.08</v>
      </c>
      <c r="I94" t="str">
        <f>("10662671063066")</f>
        <v>10662671063066</v>
      </c>
      <c r="J94">
        <v>1</v>
      </c>
      <c r="K94">
        <v>8</v>
      </c>
    </row>
    <row r="95" spans="1:11" x14ac:dyDescent="0.3">
      <c r="A95" t="s">
        <v>10</v>
      </c>
      <c r="B95" t="str">
        <f>("662671063076")</f>
        <v>662671063076</v>
      </c>
      <c r="C95" t="s">
        <v>194</v>
      </c>
      <c r="D95" t="s">
        <v>195</v>
      </c>
      <c r="E95">
        <v>275.41000000000003</v>
      </c>
      <c r="F95" s="1">
        <v>45336</v>
      </c>
      <c r="G95">
        <v>5.9329999999999998</v>
      </c>
      <c r="H95">
        <v>13.08</v>
      </c>
      <c r="I95" t="str">
        <f>("10662671063073")</f>
        <v>10662671063073</v>
      </c>
      <c r="J95">
        <v>1</v>
      </c>
      <c r="K95">
        <v>8</v>
      </c>
    </row>
    <row r="96" spans="1:11" x14ac:dyDescent="0.3">
      <c r="A96" t="s">
        <v>10</v>
      </c>
      <c r="B96" t="str">
        <f>("662671063083")</f>
        <v>662671063083</v>
      </c>
      <c r="C96" t="s">
        <v>196</v>
      </c>
      <c r="D96" t="s">
        <v>197</v>
      </c>
      <c r="E96">
        <v>275.41000000000003</v>
      </c>
      <c r="F96" s="1">
        <v>45336</v>
      </c>
      <c r="G96">
        <v>5.9329999999999998</v>
      </c>
      <c r="H96">
        <v>13.08</v>
      </c>
      <c r="I96" t="str">
        <f>("10662671063080")</f>
        <v>10662671063080</v>
      </c>
      <c r="J96">
        <v>1</v>
      </c>
      <c r="K96">
        <v>8</v>
      </c>
    </row>
    <row r="97" spans="1:11" x14ac:dyDescent="0.3">
      <c r="A97" t="s">
        <v>10</v>
      </c>
      <c r="B97" t="str">
        <f>("662671063090")</f>
        <v>662671063090</v>
      </c>
      <c r="C97" t="s">
        <v>198</v>
      </c>
      <c r="D97" t="s">
        <v>199</v>
      </c>
      <c r="E97">
        <v>275.41000000000003</v>
      </c>
      <c r="F97" s="1">
        <v>45336</v>
      </c>
      <c r="G97">
        <v>5.9329999999999998</v>
      </c>
      <c r="H97">
        <v>13.08</v>
      </c>
      <c r="I97" t="str">
        <f>("10662671063097")</f>
        <v>10662671063097</v>
      </c>
      <c r="J97">
        <v>1</v>
      </c>
      <c r="K97">
        <v>8</v>
      </c>
    </row>
    <row r="98" spans="1:11" x14ac:dyDescent="0.3">
      <c r="A98" t="s">
        <v>10</v>
      </c>
      <c r="B98" t="str">
        <f>("662671069474")</f>
        <v>662671069474</v>
      </c>
      <c r="C98" t="s">
        <v>200</v>
      </c>
      <c r="D98" t="s">
        <v>201</v>
      </c>
      <c r="E98">
        <v>49.84</v>
      </c>
      <c r="F98" s="1">
        <v>45336</v>
      </c>
      <c r="G98">
        <v>1.28</v>
      </c>
      <c r="H98">
        <v>2.8220000000000001</v>
      </c>
      <c r="I98" t="str">
        <f>("00662671069474")</f>
        <v>00662671069474</v>
      </c>
      <c r="J98">
        <v>1</v>
      </c>
      <c r="K98">
        <v>24</v>
      </c>
    </row>
    <row r="99" spans="1:11" x14ac:dyDescent="0.3">
      <c r="A99" t="s">
        <v>10</v>
      </c>
      <c r="B99" t="str">
        <f>("662671069757")</f>
        <v>662671069757</v>
      </c>
      <c r="C99" t="s">
        <v>202</v>
      </c>
      <c r="D99" t="s">
        <v>203</v>
      </c>
      <c r="E99">
        <v>49.84</v>
      </c>
      <c r="F99" s="1">
        <v>45336</v>
      </c>
      <c r="G99">
        <v>1.28</v>
      </c>
      <c r="H99">
        <v>2.8220000000000001</v>
      </c>
      <c r="I99" t="str">
        <f>("00662671069757")</f>
        <v>00662671069757</v>
      </c>
      <c r="J99">
        <v>1</v>
      </c>
      <c r="K99">
        <v>24</v>
      </c>
    </row>
    <row r="100" spans="1:11" x14ac:dyDescent="0.3">
      <c r="A100" t="s">
        <v>10</v>
      </c>
      <c r="B100" t="str">
        <f>("662671069764")</f>
        <v>662671069764</v>
      </c>
      <c r="C100" t="s">
        <v>204</v>
      </c>
      <c r="D100" t="s">
        <v>205</v>
      </c>
      <c r="E100">
        <v>42.81</v>
      </c>
      <c r="F100" s="1">
        <v>45336</v>
      </c>
      <c r="G100">
        <v>1.042</v>
      </c>
      <c r="H100">
        <v>2.2970000000000002</v>
      </c>
      <c r="I100" t="str">
        <f>("00662671069764")</f>
        <v>00662671069764</v>
      </c>
      <c r="J100">
        <v>1</v>
      </c>
      <c r="K100">
        <v>24</v>
      </c>
    </row>
    <row r="101" spans="1:11" x14ac:dyDescent="0.3">
      <c r="A101" t="s">
        <v>10</v>
      </c>
      <c r="B101" t="str">
        <f>("662671069795")</f>
        <v>662671069795</v>
      </c>
      <c r="C101" t="s">
        <v>206</v>
      </c>
      <c r="D101" t="s">
        <v>207</v>
      </c>
      <c r="E101">
        <v>42.81</v>
      </c>
      <c r="F101" s="1">
        <v>45336</v>
      </c>
      <c r="G101">
        <v>1.042</v>
      </c>
      <c r="H101">
        <v>2.2970000000000002</v>
      </c>
      <c r="I101" t="str">
        <f>("00662671069795")</f>
        <v>00662671069795</v>
      </c>
      <c r="J101">
        <v>1</v>
      </c>
      <c r="K101">
        <v>24</v>
      </c>
    </row>
    <row r="102" spans="1:11" x14ac:dyDescent="0.3">
      <c r="A102" t="s">
        <v>10</v>
      </c>
      <c r="B102" t="str">
        <f>("662671026323")</f>
        <v>662671026323</v>
      </c>
      <c r="C102" t="s">
        <v>208</v>
      </c>
      <c r="D102" t="s">
        <v>209</v>
      </c>
      <c r="E102">
        <v>96.15</v>
      </c>
      <c r="F102" s="1">
        <v>45336</v>
      </c>
      <c r="G102">
        <v>2.62</v>
      </c>
      <c r="H102">
        <v>5.7759999999999998</v>
      </c>
      <c r="I102" t="str">
        <f>("10662671026320")</f>
        <v>10662671026320</v>
      </c>
      <c r="J102">
        <v>1</v>
      </c>
    </row>
    <row r="103" spans="1:11" x14ac:dyDescent="0.3">
      <c r="A103" t="s">
        <v>10</v>
      </c>
      <c r="B103" t="str">
        <f>("662671026330")</f>
        <v>662671026330</v>
      </c>
      <c r="C103" t="s">
        <v>210</v>
      </c>
      <c r="D103" t="s">
        <v>211</v>
      </c>
      <c r="E103">
        <v>96.15</v>
      </c>
      <c r="F103" s="1">
        <v>45336</v>
      </c>
      <c r="G103">
        <v>3.2</v>
      </c>
      <c r="H103">
        <v>7.0549999999999997</v>
      </c>
      <c r="I103" t="str">
        <f>("10662671026337")</f>
        <v>10662671026337</v>
      </c>
      <c r="J103">
        <v>1</v>
      </c>
      <c r="K103">
        <v>36</v>
      </c>
    </row>
    <row r="104" spans="1:11" x14ac:dyDescent="0.3">
      <c r="A104" t="s">
        <v>10</v>
      </c>
      <c r="B104" t="str">
        <f>("662671610034")</f>
        <v>662671610034</v>
      </c>
      <c r="C104" t="s">
        <v>212</v>
      </c>
      <c r="D104" t="s">
        <v>213</v>
      </c>
      <c r="E104">
        <v>1.86</v>
      </c>
      <c r="F104" s="1">
        <v>45336</v>
      </c>
      <c r="G104">
        <v>2E-3</v>
      </c>
      <c r="H104">
        <v>4.0000000000000001E-3</v>
      </c>
      <c r="I104" t="str">
        <f>("20662671610038")</f>
        <v>20662671610038</v>
      </c>
      <c r="J104">
        <v>100</v>
      </c>
      <c r="K104">
        <v>90000</v>
      </c>
    </row>
    <row r="105" spans="1:11" x14ac:dyDescent="0.3">
      <c r="A105" t="s">
        <v>10</v>
      </c>
      <c r="B105" t="str">
        <f>("662671610041")</f>
        <v>662671610041</v>
      </c>
      <c r="C105" t="s">
        <v>214</v>
      </c>
      <c r="D105" t="s">
        <v>215</v>
      </c>
      <c r="E105">
        <v>1.86</v>
      </c>
      <c r="F105" s="1">
        <v>45336</v>
      </c>
      <c r="G105">
        <v>4.0000000000000001E-3</v>
      </c>
      <c r="H105">
        <v>8.9999999999999993E-3</v>
      </c>
      <c r="I105" t="str">
        <f>("10662671610048")</f>
        <v>10662671610048</v>
      </c>
      <c r="J105">
        <v>100</v>
      </c>
      <c r="K105">
        <v>38400</v>
      </c>
    </row>
    <row r="106" spans="1:11" x14ac:dyDescent="0.3">
      <c r="A106" t="s">
        <v>10</v>
      </c>
      <c r="B106" t="str">
        <f>("662671610058")</f>
        <v>662671610058</v>
      </c>
      <c r="C106" t="s">
        <v>216</v>
      </c>
      <c r="D106" t="s">
        <v>217</v>
      </c>
      <c r="E106">
        <v>2.3199999999999998</v>
      </c>
      <c r="F106" s="1">
        <v>45336</v>
      </c>
      <c r="G106">
        <v>6.0000000000000001E-3</v>
      </c>
      <c r="H106">
        <v>1.2999999999999999E-2</v>
      </c>
      <c r="I106" t="str">
        <f>("20662671610052")</f>
        <v>20662671610052</v>
      </c>
      <c r="J106">
        <v>100</v>
      </c>
      <c r="K106">
        <v>10000</v>
      </c>
    </row>
    <row r="107" spans="1:11" x14ac:dyDescent="0.3">
      <c r="A107" t="s">
        <v>10</v>
      </c>
      <c r="B107" t="str">
        <f>("662671075918")</f>
        <v>662671075918</v>
      </c>
      <c r="C107" t="s">
        <v>218</v>
      </c>
      <c r="D107" t="s">
        <v>219</v>
      </c>
      <c r="E107">
        <v>2.3199999999999998</v>
      </c>
      <c r="F107" s="1">
        <v>45336</v>
      </c>
      <c r="G107">
        <v>8.9999999999999993E-3</v>
      </c>
      <c r="H107">
        <v>0.02</v>
      </c>
      <c r="I107" t="str">
        <f>("20662671075912")</f>
        <v>20662671075912</v>
      </c>
      <c r="J107">
        <v>100</v>
      </c>
      <c r="K107">
        <v>10000</v>
      </c>
    </row>
    <row r="108" spans="1:11" x14ac:dyDescent="0.3">
      <c r="A108" t="s">
        <v>10</v>
      </c>
      <c r="B108" t="str">
        <f>("662671610065")</f>
        <v>662671610065</v>
      </c>
      <c r="C108" t="s">
        <v>220</v>
      </c>
      <c r="D108" t="s">
        <v>221</v>
      </c>
      <c r="E108">
        <v>2.79</v>
      </c>
      <c r="F108" s="1">
        <v>45336</v>
      </c>
      <c r="G108">
        <v>1.0999999999999999E-2</v>
      </c>
      <c r="H108">
        <v>2.4E-2</v>
      </c>
      <c r="I108" t="str">
        <f>("20662671610069")</f>
        <v>20662671610069</v>
      </c>
      <c r="J108">
        <v>100</v>
      </c>
      <c r="K108">
        <v>14000</v>
      </c>
    </row>
    <row r="109" spans="1:11" x14ac:dyDescent="0.3">
      <c r="A109" t="s">
        <v>10</v>
      </c>
      <c r="B109" t="str">
        <f>("662671610072")</f>
        <v>662671610072</v>
      </c>
      <c r="C109" t="s">
        <v>222</v>
      </c>
      <c r="D109" t="s">
        <v>223</v>
      </c>
      <c r="E109">
        <v>3.36</v>
      </c>
      <c r="F109" s="1">
        <v>45336</v>
      </c>
      <c r="G109">
        <v>1.4E-2</v>
      </c>
      <c r="H109">
        <v>3.1E-2</v>
      </c>
      <c r="I109" t="str">
        <f>("20662671610076")</f>
        <v>20662671610076</v>
      </c>
      <c r="J109">
        <v>100</v>
      </c>
      <c r="K109">
        <v>14000</v>
      </c>
    </row>
    <row r="110" spans="1:11" x14ac:dyDescent="0.3">
      <c r="A110" t="s">
        <v>10</v>
      </c>
      <c r="B110" t="str">
        <f>("662671075901")</f>
        <v>662671075901</v>
      </c>
      <c r="C110" t="s">
        <v>224</v>
      </c>
      <c r="D110" t="s">
        <v>225</v>
      </c>
      <c r="E110">
        <v>3.36</v>
      </c>
      <c r="F110" s="1">
        <v>45336</v>
      </c>
      <c r="G110">
        <v>1.7999999999999999E-2</v>
      </c>
      <c r="H110">
        <v>0.04</v>
      </c>
      <c r="I110" t="str">
        <f>("20662671075905")</f>
        <v>20662671075905</v>
      </c>
      <c r="J110">
        <v>100</v>
      </c>
    </row>
    <row r="111" spans="1:11" x14ac:dyDescent="0.3">
      <c r="A111" t="s">
        <v>10</v>
      </c>
      <c r="B111" t="str">
        <f>("662671610089")</f>
        <v>662671610089</v>
      </c>
      <c r="C111" t="s">
        <v>226</v>
      </c>
      <c r="D111" t="s">
        <v>227</v>
      </c>
      <c r="E111">
        <v>4.0999999999999996</v>
      </c>
      <c r="F111" s="1">
        <v>45336</v>
      </c>
      <c r="G111">
        <v>2.5000000000000001E-2</v>
      </c>
      <c r="H111">
        <v>5.5E-2</v>
      </c>
      <c r="I111" t="str">
        <f>("20662671610083")</f>
        <v>20662671610083</v>
      </c>
      <c r="J111">
        <v>50</v>
      </c>
      <c r="K111">
        <v>3200</v>
      </c>
    </row>
    <row r="112" spans="1:11" x14ac:dyDescent="0.3">
      <c r="A112" t="s">
        <v>10</v>
      </c>
      <c r="B112" t="str">
        <f>("662671075895")</f>
        <v>662671075895</v>
      </c>
      <c r="C112" t="s">
        <v>228</v>
      </c>
      <c r="D112" t="s">
        <v>229</v>
      </c>
      <c r="E112">
        <v>4.0999999999999996</v>
      </c>
      <c r="F112" s="1">
        <v>45336</v>
      </c>
      <c r="G112">
        <v>3.5999999999999997E-2</v>
      </c>
      <c r="H112">
        <v>7.9000000000000001E-2</v>
      </c>
      <c r="I112" t="str">
        <f>("20662671075899")</f>
        <v>20662671075899</v>
      </c>
      <c r="J112">
        <v>50</v>
      </c>
      <c r="K112">
        <v>3200</v>
      </c>
    </row>
    <row r="113" spans="1:11" x14ac:dyDescent="0.3">
      <c r="A113" t="s">
        <v>10</v>
      </c>
      <c r="B113" t="str">
        <f>("662671610096")</f>
        <v>662671610096</v>
      </c>
      <c r="C113" t="s">
        <v>230</v>
      </c>
      <c r="D113" t="s">
        <v>231</v>
      </c>
      <c r="E113">
        <v>8.1199999999999992</v>
      </c>
      <c r="F113" s="1">
        <v>45336</v>
      </c>
      <c r="G113">
        <v>5.0999999999999997E-2</v>
      </c>
      <c r="H113">
        <v>0.112</v>
      </c>
      <c r="I113" t="str">
        <f>("20662671610090")</f>
        <v>20662671610090</v>
      </c>
      <c r="J113">
        <v>20</v>
      </c>
      <c r="K113">
        <v>2880</v>
      </c>
    </row>
    <row r="114" spans="1:11" x14ac:dyDescent="0.3">
      <c r="A114" t="s">
        <v>10</v>
      </c>
      <c r="B114" t="str">
        <f>("662671610102")</f>
        <v>662671610102</v>
      </c>
      <c r="C114" t="s">
        <v>232</v>
      </c>
      <c r="D114" t="s">
        <v>233</v>
      </c>
      <c r="E114">
        <v>9.99</v>
      </c>
      <c r="F114" s="1">
        <v>45336</v>
      </c>
      <c r="G114">
        <v>6.2E-2</v>
      </c>
      <c r="H114">
        <v>0.13700000000000001</v>
      </c>
      <c r="I114" t="str">
        <f>("20662671610106")</f>
        <v>20662671610106</v>
      </c>
      <c r="J114">
        <v>20</v>
      </c>
      <c r="K114">
        <v>1620</v>
      </c>
    </row>
    <row r="115" spans="1:11" x14ac:dyDescent="0.3">
      <c r="A115" t="s">
        <v>10</v>
      </c>
      <c r="B115" t="str">
        <f>("614472100016")</f>
        <v>614472100016</v>
      </c>
      <c r="C115" t="s">
        <v>234</v>
      </c>
      <c r="D115" t="s">
        <v>235</v>
      </c>
      <c r="E115">
        <v>2.64</v>
      </c>
      <c r="F115" s="1">
        <v>45336</v>
      </c>
      <c r="G115">
        <v>3.0000000000000001E-3</v>
      </c>
      <c r="H115">
        <v>7.0000000000000001E-3</v>
      </c>
      <c r="I115" t="str">
        <f>("10614472100013")</f>
        <v>10614472100013</v>
      </c>
      <c r="J115">
        <v>250</v>
      </c>
      <c r="K115">
        <v>38700</v>
      </c>
    </row>
    <row r="116" spans="1:11" x14ac:dyDescent="0.3">
      <c r="A116" t="s">
        <v>10</v>
      </c>
      <c r="B116" t="str">
        <f>("614472100153")</f>
        <v>614472100153</v>
      </c>
      <c r="C116" t="s">
        <v>236</v>
      </c>
      <c r="D116" t="s">
        <v>237</v>
      </c>
      <c r="E116">
        <v>3.77</v>
      </c>
      <c r="F116" s="1">
        <v>45336</v>
      </c>
      <c r="G116">
        <v>6.0000000000000001E-3</v>
      </c>
      <c r="H116">
        <v>1.2999999999999999E-2</v>
      </c>
      <c r="I116" t="str">
        <f>("10614472100150")</f>
        <v>10614472100150</v>
      </c>
      <c r="J116">
        <v>120</v>
      </c>
      <c r="K116">
        <v>15000</v>
      </c>
    </row>
    <row r="117" spans="1:11" x14ac:dyDescent="0.3">
      <c r="A117" t="s">
        <v>10</v>
      </c>
      <c r="B117" t="str">
        <f>("614472100207")</f>
        <v>614472100207</v>
      </c>
      <c r="C117" t="s">
        <v>238</v>
      </c>
      <c r="D117" t="s">
        <v>239</v>
      </c>
      <c r="E117">
        <v>4.3899999999999997</v>
      </c>
      <c r="F117" s="1">
        <v>45336</v>
      </c>
      <c r="G117">
        <v>0.01</v>
      </c>
      <c r="H117">
        <v>2.1999999999999999E-2</v>
      </c>
      <c r="I117" t="str">
        <f>("10614472100204")</f>
        <v>10614472100204</v>
      </c>
      <c r="J117">
        <v>65</v>
      </c>
      <c r="K117">
        <v>8125</v>
      </c>
    </row>
    <row r="118" spans="1:11" x14ac:dyDescent="0.3">
      <c r="A118" t="s">
        <v>10</v>
      </c>
      <c r="B118" t="str">
        <f>("614472100252")</f>
        <v>614472100252</v>
      </c>
      <c r="C118" t="s">
        <v>240</v>
      </c>
      <c r="D118" t="s">
        <v>241</v>
      </c>
      <c r="E118">
        <v>5.42</v>
      </c>
      <c r="F118" s="1">
        <v>45336</v>
      </c>
      <c r="G118">
        <v>1.4E-2</v>
      </c>
      <c r="H118">
        <v>3.1E-2</v>
      </c>
      <c r="I118" t="str">
        <f>("10614472100259")</f>
        <v>10614472100259</v>
      </c>
      <c r="J118">
        <v>85</v>
      </c>
      <c r="K118">
        <v>10625</v>
      </c>
    </row>
    <row r="119" spans="1:11" x14ac:dyDescent="0.3">
      <c r="A119" t="s">
        <v>10</v>
      </c>
      <c r="B119" t="str">
        <f>("614472100306")</f>
        <v>614472100306</v>
      </c>
      <c r="C119" t="s">
        <v>242</v>
      </c>
      <c r="D119" t="s">
        <v>243</v>
      </c>
      <c r="E119">
        <v>6.26</v>
      </c>
      <c r="F119" s="1">
        <v>45336</v>
      </c>
      <c r="G119">
        <v>1.7000000000000001E-2</v>
      </c>
      <c r="H119">
        <v>3.6999999999999998E-2</v>
      </c>
      <c r="I119" t="str">
        <f>("10614472100303")</f>
        <v>10614472100303</v>
      </c>
      <c r="J119">
        <v>55</v>
      </c>
      <c r="K119">
        <v>6875</v>
      </c>
    </row>
    <row r="120" spans="1:11" x14ac:dyDescent="0.3">
      <c r="A120" t="s">
        <v>10</v>
      </c>
      <c r="B120" t="str">
        <f>("614472100405")</f>
        <v>614472100405</v>
      </c>
      <c r="C120" t="s">
        <v>244</v>
      </c>
      <c r="D120" t="s">
        <v>245</v>
      </c>
      <c r="E120">
        <v>7.41</v>
      </c>
      <c r="F120" s="1">
        <v>45336</v>
      </c>
      <c r="G120">
        <v>2.1000000000000001E-2</v>
      </c>
      <c r="H120">
        <v>4.5999999999999999E-2</v>
      </c>
      <c r="I120" t="str">
        <f>("10614472100402")</f>
        <v>10614472100402</v>
      </c>
      <c r="J120">
        <v>30</v>
      </c>
      <c r="K120">
        <v>3750</v>
      </c>
    </row>
    <row r="121" spans="1:11" x14ac:dyDescent="0.3">
      <c r="A121" t="s">
        <v>10</v>
      </c>
      <c r="B121" t="str">
        <f>("614472100603")</f>
        <v>614472100603</v>
      </c>
      <c r="C121" t="s">
        <v>246</v>
      </c>
      <c r="D121" t="s">
        <v>247</v>
      </c>
      <c r="E121">
        <v>13.4</v>
      </c>
      <c r="F121" s="1">
        <v>45336</v>
      </c>
      <c r="G121">
        <v>5.8999999999999997E-2</v>
      </c>
      <c r="H121">
        <v>0.13</v>
      </c>
      <c r="I121" t="str">
        <f>("10614472100600")</f>
        <v>10614472100600</v>
      </c>
      <c r="J121">
        <v>8</v>
      </c>
      <c r="K121">
        <v>1000</v>
      </c>
    </row>
    <row r="122" spans="1:11" x14ac:dyDescent="0.3">
      <c r="A122" t="s">
        <v>10</v>
      </c>
      <c r="B122" t="str">
        <f>("662671620019")</f>
        <v>662671620019</v>
      </c>
      <c r="C122">
        <v>620808</v>
      </c>
      <c r="D122" t="s">
        <v>248</v>
      </c>
      <c r="E122">
        <v>11.45</v>
      </c>
      <c r="F122" s="1">
        <v>45336</v>
      </c>
      <c r="G122">
        <v>0.16500000000000001</v>
      </c>
      <c r="H122">
        <v>0.36399999999999999</v>
      </c>
      <c r="I122" t="str">
        <f>("10662671620016")</f>
        <v>10662671620016</v>
      </c>
      <c r="J122">
        <v>12</v>
      </c>
      <c r="K122">
        <v>768</v>
      </c>
    </row>
    <row r="123" spans="1:11" x14ac:dyDescent="0.3">
      <c r="A123" t="s">
        <v>10</v>
      </c>
      <c r="B123" t="str">
        <f>("662671075857")</f>
        <v>662671075857</v>
      </c>
      <c r="C123" t="s">
        <v>249</v>
      </c>
      <c r="D123" t="s">
        <v>250</v>
      </c>
      <c r="E123">
        <v>11.45</v>
      </c>
      <c r="F123" s="1">
        <v>45336</v>
      </c>
      <c r="G123">
        <v>0.16500000000000001</v>
      </c>
      <c r="H123">
        <v>0.36399999999999999</v>
      </c>
      <c r="I123" t="str">
        <f>("10662671075854")</f>
        <v>10662671075854</v>
      </c>
      <c r="J123">
        <v>12</v>
      </c>
      <c r="K123">
        <v>768</v>
      </c>
    </row>
    <row r="124" spans="1:11" x14ac:dyDescent="0.3">
      <c r="A124" t="s">
        <v>10</v>
      </c>
      <c r="B124" t="str">
        <f>("662671626103")</f>
        <v>662671626103</v>
      </c>
      <c r="C124" t="s">
        <v>251</v>
      </c>
      <c r="D124" t="s">
        <v>252</v>
      </c>
      <c r="E124">
        <v>25.65</v>
      </c>
      <c r="F124" s="1">
        <v>45336</v>
      </c>
      <c r="G124">
        <v>0.318</v>
      </c>
      <c r="H124">
        <v>0.70099999999999996</v>
      </c>
      <c r="I124" t="str">
        <f>("10662671626100")</f>
        <v>10662671626100</v>
      </c>
      <c r="J124">
        <v>8</v>
      </c>
      <c r="K124">
        <v>512</v>
      </c>
    </row>
    <row r="125" spans="1:11" x14ac:dyDescent="0.3">
      <c r="A125" t="s">
        <v>10</v>
      </c>
      <c r="B125" t="str">
        <f>("662671626097")</f>
        <v>662671626097</v>
      </c>
      <c r="C125" t="s">
        <v>253</v>
      </c>
      <c r="D125" t="s">
        <v>254</v>
      </c>
      <c r="E125">
        <v>11.45</v>
      </c>
      <c r="F125" s="1">
        <v>45336</v>
      </c>
      <c r="G125">
        <v>0.151</v>
      </c>
      <c r="H125">
        <v>0.33300000000000002</v>
      </c>
      <c r="I125" t="str">
        <f>("10662671626094")</f>
        <v>10662671626094</v>
      </c>
      <c r="J125">
        <v>12</v>
      </c>
      <c r="K125">
        <v>768</v>
      </c>
    </row>
    <row r="126" spans="1:11" x14ac:dyDescent="0.3">
      <c r="A126" t="s">
        <v>10</v>
      </c>
      <c r="B126" t="str">
        <f>("662671620026")</f>
        <v>662671620026</v>
      </c>
      <c r="C126">
        <v>620812</v>
      </c>
      <c r="D126" t="s">
        <v>255</v>
      </c>
      <c r="E126">
        <v>14.19</v>
      </c>
      <c r="F126" s="1">
        <v>45336</v>
      </c>
      <c r="G126">
        <v>0.20399999999999999</v>
      </c>
      <c r="H126">
        <v>0.45</v>
      </c>
      <c r="I126" t="str">
        <f>("10662671620023")</f>
        <v>10662671620023</v>
      </c>
      <c r="J126">
        <v>12</v>
      </c>
      <c r="K126">
        <v>576</v>
      </c>
    </row>
    <row r="127" spans="1:11" x14ac:dyDescent="0.3">
      <c r="A127" t="s">
        <v>10</v>
      </c>
      <c r="B127" t="str">
        <f>("662671075772")</f>
        <v>662671075772</v>
      </c>
      <c r="C127" t="s">
        <v>256</v>
      </c>
      <c r="D127" t="s">
        <v>257</v>
      </c>
      <c r="E127">
        <v>14.19</v>
      </c>
      <c r="F127" s="1">
        <v>45336</v>
      </c>
      <c r="G127">
        <v>0.20399999999999999</v>
      </c>
      <c r="H127">
        <v>0.45</v>
      </c>
      <c r="I127" t="str">
        <f>("10662671075779")</f>
        <v>10662671075779</v>
      </c>
      <c r="J127">
        <v>12</v>
      </c>
      <c r="K127">
        <v>576</v>
      </c>
    </row>
    <row r="128" spans="1:11" x14ac:dyDescent="0.3">
      <c r="A128" t="s">
        <v>10</v>
      </c>
      <c r="B128" t="str">
        <f>("662671626127")</f>
        <v>662671626127</v>
      </c>
      <c r="C128" t="s">
        <v>258</v>
      </c>
      <c r="D128" t="s">
        <v>259</v>
      </c>
      <c r="E128">
        <v>27.54</v>
      </c>
      <c r="F128" s="1">
        <v>45336</v>
      </c>
      <c r="G128">
        <v>0.42499999999999999</v>
      </c>
      <c r="H128">
        <v>0.93700000000000006</v>
      </c>
      <c r="I128" t="str">
        <f>("20662671626121")</f>
        <v>20662671626121</v>
      </c>
      <c r="J128">
        <v>6</v>
      </c>
      <c r="K128">
        <v>288</v>
      </c>
    </row>
    <row r="129" spans="1:11" x14ac:dyDescent="0.3">
      <c r="A129" t="s">
        <v>10</v>
      </c>
      <c r="B129" t="str">
        <f>("662671620033")</f>
        <v>662671620033</v>
      </c>
      <c r="C129">
        <v>620816</v>
      </c>
      <c r="D129" t="s">
        <v>260</v>
      </c>
      <c r="E129">
        <v>17.13</v>
      </c>
      <c r="F129" s="1">
        <v>45336</v>
      </c>
      <c r="G129">
        <v>0.29699999999999999</v>
      </c>
      <c r="H129">
        <v>0.65500000000000003</v>
      </c>
      <c r="I129" t="str">
        <f>("10662671620030")</f>
        <v>10662671620030</v>
      </c>
      <c r="J129">
        <v>12</v>
      </c>
      <c r="K129">
        <v>336</v>
      </c>
    </row>
    <row r="130" spans="1:11" x14ac:dyDescent="0.3">
      <c r="A130" t="s">
        <v>10</v>
      </c>
      <c r="B130" t="str">
        <f>("662671620040")</f>
        <v>662671620040</v>
      </c>
      <c r="C130">
        <v>621212</v>
      </c>
      <c r="D130" t="s">
        <v>261</v>
      </c>
      <c r="E130">
        <v>20.67</v>
      </c>
      <c r="F130" s="1">
        <v>45336</v>
      </c>
      <c r="G130">
        <v>0.41799999999999998</v>
      </c>
      <c r="H130">
        <v>0.92200000000000004</v>
      </c>
      <c r="I130" t="str">
        <f>("10662671620047")</f>
        <v>10662671620047</v>
      </c>
      <c r="J130">
        <v>12</v>
      </c>
      <c r="K130">
        <v>324</v>
      </c>
    </row>
    <row r="131" spans="1:11" x14ac:dyDescent="0.3">
      <c r="A131" t="s">
        <v>10</v>
      </c>
      <c r="B131" t="str">
        <f>("662671075765")</f>
        <v>662671075765</v>
      </c>
      <c r="C131" t="s">
        <v>262</v>
      </c>
      <c r="D131" t="s">
        <v>263</v>
      </c>
      <c r="E131">
        <v>20.67</v>
      </c>
      <c r="F131" s="1">
        <v>45336</v>
      </c>
      <c r="G131">
        <v>0.41799999999999998</v>
      </c>
      <c r="H131">
        <v>0.92200000000000004</v>
      </c>
      <c r="I131" t="str">
        <f>("10662671075762")</f>
        <v>10662671075762</v>
      </c>
      <c r="J131">
        <v>12</v>
      </c>
      <c r="K131">
        <v>324</v>
      </c>
    </row>
    <row r="132" spans="1:11" x14ac:dyDescent="0.3">
      <c r="A132" t="s">
        <v>10</v>
      </c>
      <c r="B132" t="str">
        <f>("662671620736")</f>
        <v>662671620736</v>
      </c>
      <c r="C132" t="s">
        <v>264</v>
      </c>
      <c r="D132" t="s">
        <v>265</v>
      </c>
      <c r="E132">
        <v>31.84</v>
      </c>
      <c r="F132" s="1">
        <v>45336</v>
      </c>
      <c r="G132">
        <v>0.81599999999999995</v>
      </c>
      <c r="H132">
        <v>1.7989999999999999</v>
      </c>
      <c r="I132" t="str">
        <f>("10662671620733")</f>
        <v>10662671620733</v>
      </c>
      <c r="J132">
        <v>6</v>
      </c>
      <c r="K132">
        <v>162</v>
      </c>
    </row>
    <row r="133" spans="1:11" x14ac:dyDescent="0.3">
      <c r="A133" t="s">
        <v>10</v>
      </c>
      <c r="B133" t="str">
        <f>("662671620729")</f>
        <v>662671620729</v>
      </c>
      <c r="C133" t="s">
        <v>266</v>
      </c>
      <c r="D133" t="s">
        <v>267</v>
      </c>
      <c r="E133">
        <v>20.67</v>
      </c>
      <c r="F133" s="1">
        <v>45336</v>
      </c>
      <c r="G133">
        <v>0.39500000000000002</v>
      </c>
      <c r="H133">
        <v>0.871</v>
      </c>
      <c r="I133" t="str">
        <f>("10662671620726")</f>
        <v>10662671620726</v>
      </c>
      <c r="J133">
        <v>13</v>
      </c>
      <c r="K133">
        <v>351</v>
      </c>
    </row>
    <row r="134" spans="1:11" x14ac:dyDescent="0.3">
      <c r="A134" t="s">
        <v>10</v>
      </c>
      <c r="B134" t="str">
        <f>("662671620057")</f>
        <v>662671620057</v>
      </c>
      <c r="C134">
        <v>621218</v>
      </c>
      <c r="D134" t="s">
        <v>268</v>
      </c>
      <c r="E134">
        <v>25.73</v>
      </c>
      <c r="F134" s="1">
        <v>45336</v>
      </c>
      <c r="G134">
        <v>0.58099999999999996</v>
      </c>
      <c r="H134">
        <v>1.2809999999999999</v>
      </c>
      <c r="I134" t="str">
        <f>("10662671620054")</f>
        <v>10662671620054</v>
      </c>
      <c r="J134">
        <v>12</v>
      </c>
      <c r="K134">
        <v>324</v>
      </c>
    </row>
    <row r="135" spans="1:11" x14ac:dyDescent="0.3">
      <c r="A135" t="s">
        <v>10</v>
      </c>
      <c r="B135" t="str">
        <f>("662671075789")</f>
        <v>662671075789</v>
      </c>
      <c r="C135" t="s">
        <v>269</v>
      </c>
      <c r="D135" t="s">
        <v>270</v>
      </c>
      <c r="E135">
        <v>25.73</v>
      </c>
      <c r="F135" s="1">
        <v>45336</v>
      </c>
      <c r="G135">
        <v>0.58099999999999996</v>
      </c>
      <c r="H135">
        <v>1.2809999999999999</v>
      </c>
      <c r="I135" t="str">
        <f>("10662671075786")</f>
        <v>10662671075786</v>
      </c>
      <c r="J135">
        <v>12</v>
      </c>
      <c r="K135">
        <v>324</v>
      </c>
    </row>
    <row r="136" spans="1:11" x14ac:dyDescent="0.3">
      <c r="A136" t="s">
        <v>10</v>
      </c>
      <c r="B136" t="str">
        <f>("662671620644")</f>
        <v>662671620644</v>
      </c>
      <c r="C136" t="s">
        <v>271</v>
      </c>
      <c r="D136" t="s">
        <v>272</v>
      </c>
      <c r="E136">
        <v>50.57</v>
      </c>
      <c r="F136" s="1">
        <v>45336</v>
      </c>
      <c r="G136">
        <v>0.86199999999999999</v>
      </c>
      <c r="H136">
        <v>1.9</v>
      </c>
      <c r="I136" t="str">
        <f>("10662671620641")</f>
        <v>10662671620641</v>
      </c>
      <c r="J136">
        <v>6</v>
      </c>
      <c r="K136">
        <v>72</v>
      </c>
    </row>
    <row r="137" spans="1:11" x14ac:dyDescent="0.3">
      <c r="A137" t="s">
        <v>10</v>
      </c>
      <c r="B137" t="str">
        <f>("662671624703")</f>
        <v>662671624703</v>
      </c>
      <c r="C137" t="s">
        <v>273</v>
      </c>
      <c r="D137" t="s">
        <v>274</v>
      </c>
      <c r="E137">
        <v>49.05</v>
      </c>
      <c r="F137" s="1">
        <v>45336</v>
      </c>
      <c r="G137">
        <v>0.86199999999999999</v>
      </c>
      <c r="H137">
        <v>1.9</v>
      </c>
      <c r="I137" t="str">
        <f>("10662671624700")</f>
        <v>10662671624700</v>
      </c>
      <c r="J137">
        <v>7</v>
      </c>
      <c r="K137">
        <v>84</v>
      </c>
    </row>
    <row r="138" spans="1:11" x14ac:dyDescent="0.3">
      <c r="A138" t="s">
        <v>10</v>
      </c>
      <c r="B138" t="str">
        <f>("662671075888")</f>
        <v>662671075888</v>
      </c>
      <c r="C138" t="s">
        <v>275</v>
      </c>
      <c r="D138" t="s">
        <v>276</v>
      </c>
      <c r="E138">
        <v>49.05</v>
      </c>
      <c r="F138" s="1">
        <v>45336</v>
      </c>
      <c r="G138">
        <v>0.86199999999999999</v>
      </c>
      <c r="H138">
        <v>1.9</v>
      </c>
      <c r="I138" t="str">
        <f>("10662671075885")</f>
        <v>10662671075885</v>
      </c>
      <c r="J138">
        <v>7</v>
      </c>
      <c r="K138">
        <v>84</v>
      </c>
    </row>
    <row r="139" spans="1:11" x14ac:dyDescent="0.3">
      <c r="A139" t="s">
        <v>10</v>
      </c>
      <c r="B139" t="str">
        <f>("662671620637")</f>
        <v>662671620637</v>
      </c>
      <c r="C139" t="s">
        <v>277</v>
      </c>
      <c r="D139" t="s">
        <v>278</v>
      </c>
      <c r="E139">
        <v>56.2</v>
      </c>
      <c r="F139" s="1">
        <v>45336</v>
      </c>
      <c r="G139">
        <v>0.93700000000000006</v>
      </c>
      <c r="H139">
        <v>2.0659999999999998</v>
      </c>
      <c r="I139" t="str">
        <f>("10662671620634")</f>
        <v>10662671620634</v>
      </c>
      <c r="J139">
        <v>6</v>
      </c>
      <c r="K139">
        <v>72</v>
      </c>
    </row>
    <row r="140" spans="1:11" x14ac:dyDescent="0.3">
      <c r="A140" t="s">
        <v>10</v>
      </c>
      <c r="B140" t="str">
        <f>("662671624765")</f>
        <v>662671624765</v>
      </c>
      <c r="C140" t="s">
        <v>279</v>
      </c>
      <c r="D140" t="s">
        <v>280</v>
      </c>
      <c r="E140">
        <v>56.2</v>
      </c>
      <c r="F140" s="1">
        <v>45336</v>
      </c>
      <c r="G140">
        <v>0.93700000000000006</v>
      </c>
      <c r="H140">
        <v>2.0659999999999998</v>
      </c>
      <c r="I140" t="str">
        <f>("30662671624766")</f>
        <v>30662671624766</v>
      </c>
      <c r="J140">
        <v>7</v>
      </c>
      <c r="K140">
        <v>84</v>
      </c>
    </row>
    <row r="141" spans="1:11" x14ac:dyDescent="0.3">
      <c r="A141" t="s">
        <v>10</v>
      </c>
      <c r="B141" t="str">
        <f>("662671620613")</f>
        <v>662671620613</v>
      </c>
      <c r="C141" t="s">
        <v>281</v>
      </c>
      <c r="D141" t="s">
        <v>282</v>
      </c>
      <c r="E141">
        <v>79.42</v>
      </c>
      <c r="F141" s="1">
        <v>45336</v>
      </c>
      <c r="G141">
        <v>1.073</v>
      </c>
      <c r="H141">
        <v>2.3660000000000001</v>
      </c>
      <c r="I141" t="str">
        <f>("10662671620610")</f>
        <v>10662671620610</v>
      </c>
      <c r="J141">
        <v>6</v>
      </c>
      <c r="K141">
        <v>72</v>
      </c>
    </row>
    <row r="142" spans="1:11" x14ac:dyDescent="0.3">
      <c r="A142" t="s">
        <v>10</v>
      </c>
      <c r="B142" t="str">
        <f>("662671624710")</f>
        <v>662671624710</v>
      </c>
      <c r="C142" t="s">
        <v>283</v>
      </c>
      <c r="D142" t="s">
        <v>284</v>
      </c>
      <c r="E142">
        <v>77.03</v>
      </c>
      <c r="F142" s="1">
        <v>45336</v>
      </c>
      <c r="G142">
        <v>1.073</v>
      </c>
      <c r="H142">
        <v>2.3660000000000001</v>
      </c>
      <c r="I142" t="str">
        <f>("10662671624717")</f>
        <v>10662671624717</v>
      </c>
      <c r="J142">
        <v>8</v>
      </c>
      <c r="K142">
        <v>96</v>
      </c>
    </row>
    <row r="143" spans="1:11" x14ac:dyDescent="0.3">
      <c r="A143" t="s">
        <v>10</v>
      </c>
      <c r="B143" t="str">
        <f>("662671075871")</f>
        <v>662671075871</v>
      </c>
      <c r="C143" t="s">
        <v>285</v>
      </c>
      <c r="D143" t="s">
        <v>286</v>
      </c>
      <c r="E143">
        <v>77.03</v>
      </c>
      <c r="F143" s="1">
        <v>45336</v>
      </c>
      <c r="G143">
        <v>1.073</v>
      </c>
      <c r="H143">
        <v>2.3660000000000001</v>
      </c>
      <c r="I143" t="str">
        <f>("10662671075878")</f>
        <v>10662671075878</v>
      </c>
      <c r="J143">
        <v>8</v>
      </c>
      <c r="K143">
        <v>96</v>
      </c>
    </row>
    <row r="144" spans="1:11" x14ac:dyDescent="0.3">
      <c r="A144" t="s">
        <v>10</v>
      </c>
      <c r="B144" t="str">
        <f>("662671620552")</f>
        <v>662671620552</v>
      </c>
      <c r="C144" t="s">
        <v>287</v>
      </c>
      <c r="D144" t="s">
        <v>288</v>
      </c>
      <c r="E144">
        <v>88.28</v>
      </c>
      <c r="F144" s="1">
        <v>45336</v>
      </c>
      <c r="G144">
        <v>1.1499999999999999</v>
      </c>
      <c r="H144">
        <v>2.5350000000000001</v>
      </c>
      <c r="I144" t="str">
        <f>("10662671620559")</f>
        <v>10662671620559</v>
      </c>
      <c r="J144">
        <v>6</v>
      </c>
      <c r="K144">
        <v>72</v>
      </c>
    </row>
    <row r="145" spans="1:11" x14ac:dyDescent="0.3">
      <c r="A145" t="s">
        <v>10</v>
      </c>
      <c r="B145" t="str">
        <f>("662671620675")</f>
        <v>662671620675</v>
      </c>
      <c r="C145" t="s">
        <v>289</v>
      </c>
      <c r="D145" t="s">
        <v>290</v>
      </c>
      <c r="E145">
        <v>85.63</v>
      </c>
      <c r="F145" s="1">
        <v>45336</v>
      </c>
      <c r="G145">
        <v>1.1499999999999999</v>
      </c>
      <c r="H145">
        <v>2.5350000000000001</v>
      </c>
      <c r="I145" t="str">
        <f>("10662671620672")</f>
        <v>10662671620672</v>
      </c>
      <c r="J145">
        <v>8</v>
      </c>
      <c r="K145">
        <v>96</v>
      </c>
    </row>
    <row r="146" spans="1:11" x14ac:dyDescent="0.3">
      <c r="A146" t="s">
        <v>10</v>
      </c>
      <c r="B146" t="str">
        <f>("662671620620")</f>
        <v>662671620620</v>
      </c>
      <c r="C146" t="s">
        <v>291</v>
      </c>
      <c r="D146" t="s">
        <v>292</v>
      </c>
      <c r="E146">
        <v>79.42</v>
      </c>
      <c r="F146" s="1">
        <v>45336</v>
      </c>
      <c r="G146">
        <v>1.1180000000000001</v>
      </c>
      <c r="H146">
        <v>2.4649999999999999</v>
      </c>
      <c r="I146" t="str">
        <f>("10662671620627")</f>
        <v>10662671620627</v>
      </c>
      <c r="J146">
        <v>6</v>
      </c>
      <c r="K146">
        <v>72</v>
      </c>
    </row>
    <row r="147" spans="1:11" x14ac:dyDescent="0.3">
      <c r="A147" t="s">
        <v>10</v>
      </c>
      <c r="B147" t="str">
        <f>("662671624727")</f>
        <v>662671624727</v>
      </c>
      <c r="C147" t="s">
        <v>293</v>
      </c>
      <c r="D147" t="s">
        <v>294</v>
      </c>
      <c r="E147">
        <v>77.03</v>
      </c>
      <c r="F147" s="1">
        <v>45336</v>
      </c>
      <c r="G147">
        <v>1.1180000000000001</v>
      </c>
      <c r="H147">
        <v>2.4649999999999999</v>
      </c>
      <c r="I147" t="str">
        <f>("10662671624724")</f>
        <v>10662671624724</v>
      </c>
      <c r="J147">
        <v>8</v>
      </c>
      <c r="K147">
        <v>96</v>
      </c>
    </row>
    <row r="148" spans="1:11" x14ac:dyDescent="0.3">
      <c r="A148" t="s">
        <v>10</v>
      </c>
      <c r="B148" t="str">
        <f>("662671075864")</f>
        <v>662671075864</v>
      </c>
      <c r="C148" t="s">
        <v>295</v>
      </c>
      <c r="D148" t="s">
        <v>296</v>
      </c>
      <c r="E148">
        <v>77.03</v>
      </c>
      <c r="F148" s="1">
        <v>45336</v>
      </c>
      <c r="G148">
        <v>1.1180000000000001</v>
      </c>
      <c r="H148">
        <v>2.4649999999999999</v>
      </c>
      <c r="I148" t="str">
        <f>("10662671075861")</f>
        <v>10662671075861</v>
      </c>
      <c r="J148">
        <v>8</v>
      </c>
      <c r="K148">
        <v>96</v>
      </c>
    </row>
    <row r="149" spans="1:11" x14ac:dyDescent="0.3">
      <c r="A149" t="s">
        <v>10</v>
      </c>
      <c r="B149" t="str">
        <f>("662671620477")</f>
        <v>662671620477</v>
      </c>
      <c r="C149" t="s">
        <v>297</v>
      </c>
      <c r="D149" t="s">
        <v>298</v>
      </c>
      <c r="E149">
        <v>88.28</v>
      </c>
      <c r="F149" s="1">
        <v>45336</v>
      </c>
      <c r="G149">
        <v>1.214</v>
      </c>
      <c r="H149">
        <v>2.6760000000000002</v>
      </c>
      <c r="I149" t="str">
        <f>("10662671620474")</f>
        <v>10662671620474</v>
      </c>
      <c r="J149">
        <v>6</v>
      </c>
      <c r="K149">
        <v>72</v>
      </c>
    </row>
    <row r="150" spans="1:11" x14ac:dyDescent="0.3">
      <c r="A150" t="s">
        <v>10</v>
      </c>
      <c r="B150" t="str">
        <f>("662671620668")</f>
        <v>662671620668</v>
      </c>
      <c r="C150" t="s">
        <v>299</v>
      </c>
      <c r="D150" t="s">
        <v>300</v>
      </c>
      <c r="E150">
        <v>85.63</v>
      </c>
      <c r="F150" s="1">
        <v>45336</v>
      </c>
      <c r="G150">
        <v>1.214</v>
      </c>
      <c r="H150">
        <v>2.6760000000000002</v>
      </c>
      <c r="I150" t="str">
        <f>("10662671620665")</f>
        <v>10662671620665</v>
      </c>
      <c r="J150">
        <v>8</v>
      </c>
      <c r="K150">
        <v>96</v>
      </c>
    </row>
    <row r="151" spans="1:11" x14ac:dyDescent="0.3">
      <c r="A151" t="s">
        <v>10</v>
      </c>
      <c r="B151" t="str">
        <f>("662671620576")</f>
        <v>662671620576</v>
      </c>
      <c r="C151" t="s">
        <v>301</v>
      </c>
      <c r="D151" t="s">
        <v>302</v>
      </c>
      <c r="E151">
        <v>63.77</v>
      </c>
      <c r="F151" s="1">
        <v>45336</v>
      </c>
      <c r="G151">
        <v>1.1819999999999999</v>
      </c>
      <c r="H151">
        <v>2.6059999999999999</v>
      </c>
      <c r="I151" t="str">
        <f>("10662671620573")</f>
        <v>10662671620573</v>
      </c>
      <c r="J151">
        <v>6</v>
      </c>
      <c r="K151">
        <v>72</v>
      </c>
    </row>
    <row r="152" spans="1:11" x14ac:dyDescent="0.3">
      <c r="A152" t="s">
        <v>10</v>
      </c>
      <c r="B152" t="str">
        <f>("662671620705")</f>
        <v>662671620705</v>
      </c>
      <c r="C152" t="s">
        <v>303</v>
      </c>
      <c r="D152" t="s">
        <v>304</v>
      </c>
      <c r="E152">
        <v>61.87</v>
      </c>
      <c r="F152" s="1">
        <v>45336</v>
      </c>
      <c r="G152">
        <v>1.1819999999999999</v>
      </c>
      <c r="H152">
        <v>2.6059999999999999</v>
      </c>
      <c r="I152" t="str">
        <f>("10662671620702")</f>
        <v>10662671620702</v>
      </c>
      <c r="J152">
        <v>7</v>
      </c>
      <c r="K152">
        <v>84</v>
      </c>
    </row>
    <row r="153" spans="1:11" x14ac:dyDescent="0.3">
      <c r="A153" t="s">
        <v>10</v>
      </c>
      <c r="B153" t="str">
        <f>("662671620569")</f>
        <v>662671620569</v>
      </c>
      <c r="C153" t="s">
        <v>305</v>
      </c>
      <c r="D153" t="s">
        <v>306</v>
      </c>
      <c r="E153">
        <v>69.58</v>
      </c>
      <c r="F153" s="1">
        <v>45336</v>
      </c>
      <c r="G153">
        <v>1.2889999999999999</v>
      </c>
      <c r="H153">
        <v>2.8420000000000001</v>
      </c>
      <c r="I153" t="str">
        <f>("10662671620566")</f>
        <v>10662671620566</v>
      </c>
      <c r="J153">
        <v>6</v>
      </c>
      <c r="K153">
        <v>72</v>
      </c>
    </row>
    <row r="154" spans="1:11" x14ac:dyDescent="0.3">
      <c r="A154" t="s">
        <v>10</v>
      </c>
      <c r="B154" t="str">
        <f>("662671620699")</f>
        <v>662671620699</v>
      </c>
      <c r="C154" t="s">
        <v>307</v>
      </c>
      <c r="D154" t="s">
        <v>308</v>
      </c>
      <c r="E154">
        <v>69.58</v>
      </c>
      <c r="F154" s="1">
        <v>45336</v>
      </c>
      <c r="G154">
        <v>1.2889999999999999</v>
      </c>
      <c r="H154">
        <v>2.8420000000000001</v>
      </c>
      <c r="I154" t="str">
        <f>("10662671620696")</f>
        <v>10662671620696</v>
      </c>
      <c r="J154">
        <v>8</v>
      </c>
      <c r="K154">
        <v>96</v>
      </c>
    </row>
    <row r="155" spans="1:11" x14ac:dyDescent="0.3">
      <c r="A155" t="s">
        <v>10</v>
      </c>
      <c r="B155" t="str">
        <f>("662671620545")</f>
        <v>662671620545</v>
      </c>
      <c r="C155" t="s">
        <v>309</v>
      </c>
      <c r="D155" t="s">
        <v>310</v>
      </c>
      <c r="E155">
        <v>112.41</v>
      </c>
      <c r="F155" s="1">
        <v>45336</v>
      </c>
      <c r="G155">
        <v>1.86</v>
      </c>
      <c r="H155">
        <v>4.101</v>
      </c>
      <c r="I155" t="str">
        <f>("10662671620542")</f>
        <v>10662671620542</v>
      </c>
      <c r="J155">
        <v>5</v>
      </c>
      <c r="K155">
        <v>40</v>
      </c>
    </row>
    <row r="156" spans="1:11" x14ac:dyDescent="0.3">
      <c r="A156" t="s">
        <v>10</v>
      </c>
      <c r="B156" t="str">
        <f>("662671620651")</f>
        <v>662671620651</v>
      </c>
      <c r="C156" t="s">
        <v>311</v>
      </c>
      <c r="D156" t="s">
        <v>312</v>
      </c>
      <c r="E156">
        <v>95.64</v>
      </c>
      <c r="F156" s="1">
        <v>45336</v>
      </c>
      <c r="G156">
        <v>1.639</v>
      </c>
      <c r="H156">
        <v>3.613</v>
      </c>
      <c r="I156" t="str">
        <f>("10662671620658")</f>
        <v>10662671620658</v>
      </c>
      <c r="J156">
        <v>6</v>
      </c>
      <c r="K156">
        <v>48</v>
      </c>
    </row>
    <row r="157" spans="1:11" x14ac:dyDescent="0.3">
      <c r="A157" t="s">
        <v>10</v>
      </c>
      <c r="B157" t="str">
        <f>("662671620583")</f>
        <v>662671620583</v>
      </c>
      <c r="C157" t="s">
        <v>313</v>
      </c>
      <c r="D157" t="s">
        <v>314</v>
      </c>
      <c r="E157">
        <v>94.32</v>
      </c>
      <c r="F157" s="1">
        <v>45336</v>
      </c>
      <c r="G157">
        <v>1.792</v>
      </c>
      <c r="H157">
        <v>3.9510000000000001</v>
      </c>
      <c r="I157" t="str">
        <f>("10662671620580")</f>
        <v>10662671620580</v>
      </c>
      <c r="J157">
        <v>6</v>
      </c>
      <c r="K157">
        <v>48</v>
      </c>
    </row>
    <row r="158" spans="1:11" x14ac:dyDescent="0.3">
      <c r="A158" t="s">
        <v>10</v>
      </c>
      <c r="B158" t="str">
        <f>("662671640741")</f>
        <v>662671640741</v>
      </c>
      <c r="C158" t="s">
        <v>315</v>
      </c>
      <c r="D158" t="s">
        <v>316</v>
      </c>
      <c r="E158">
        <v>14</v>
      </c>
      <c r="F158" s="1">
        <v>45336</v>
      </c>
      <c r="G158">
        <v>0.152</v>
      </c>
      <c r="H158">
        <v>0.33500000000000002</v>
      </c>
      <c r="I158" t="str">
        <f>("10662671640748")</f>
        <v>10662671640748</v>
      </c>
      <c r="J158">
        <v>12</v>
      </c>
      <c r="K158">
        <v>720</v>
      </c>
    </row>
    <row r="159" spans="1:11" x14ac:dyDescent="0.3">
      <c r="A159" t="s">
        <v>10</v>
      </c>
      <c r="B159" t="str">
        <f>("662671645418")</f>
        <v>662671645418</v>
      </c>
      <c r="C159" t="s">
        <v>317</v>
      </c>
      <c r="D159" t="s">
        <v>318</v>
      </c>
      <c r="E159">
        <v>13.57</v>
      </c>
      <c r="F159" s="1">
        <v>45336</v>
      </c>
      <c r="G159">
        <v>0.152</v>
      </c>
      <c r="H159">
        <v>0.33500000000000002</v>
      </c>
      <c r="I159" t="str">
        <f>("10662671645415")</f>
        <v>10662671645415</v>
      </c>
      <c r="J159">
        <v>25</v>
      </c>
      <c r="K159">
        <v>800</v>
      </c>
    </row>
    <row r="160" spans="1:11" x14ac:dyDescent="0.3">
      <c r="A160" t="s">
        <v>10</v>
      </c>
      <c r="B160" t="str">
        <f>("662671075833")</f>
        <v>662671075833</v>
      </c>
      <c r="C160" t="s">
        <v>319</v>
      </c>
      <c r="D160" t="s">
        <v>320</v>
      </c>
      <c r="E160">
        <v>13.57</v>
      </c>
      <c r="F160" s="1">
        <v>45336</v>
      </c>
      <c r="G160">
        <v>0.152</v>
      </c>
      <c r="H160">
        <v>0.33500000000000002</v>
      </c>
      <c r="I160" t="str">
        <f>("10662671075830")</f>
        <v>10662671075830</v>
      </c>
      <c r="J160">
        <v>25</v>
      </c>
      <c r="K160">
        <v>800</v>
      </c>
    </row>
    <row r="161" spans="1:11" x14ac:dyDescent="0.3">
      <c r="A161" t="s">
        <v>10</v>
      </c>
      <c r="B161" t="str">
        <f>("662671640758")</f>
        <v>662671640758</v>
      </c>
      <c r="C161" t="s">
        <v>321</v>
      </c>
      <c r="D161" t="s">
        <v>322</v>
      </c>
      <c r="E161">
        <v>23.19</v>
      </c>
      <c r="F161" s="1">
        <v>45336</v>
      </c>
      <c r="G161">
        <v>0.16600000000000001</v>
      </c>
      <c r="H161">
        <v>0.36599999999999999</v>
      </c>
      <c r="I161" t="str">
        <f>("10662671640755")</f>
        <v>10662671640755</v>
      </c>
      <c r="J161">
        <v>6</v>
      </c>
      <c r="K161">
        <v>96</v>
      </c>
    </row>
    <row r="162" spans="1:11" x14ac:dyDescent="0.3">
      <c r="A162" t="s">
        <v>10</v>
      </c>
      <c r="B162" t="str">
        <f>("662671645463")</f>
        <v>662671645463</v>
      </c>
      <c r="C162" t="s">
        <v>323</v>
      </c>
      <c r="D162" t="s">
        <v>324</v>
      </c>
      <c r="E162">
        <v>22.49</v>
      </c>
      <c r="F162" s="1">
        <v>45336</v>
      </c>
      <c r="G162">
        <v>0.16600000000000001</v>
      </c>
      <c r="H162">
        <v>0.36599999999999999</v>
      </c>
      <c r="I162" t="str">
        <f>("10662671645460")</f>
        <v>10662671645460</v>
      </c>
      <c r="J162">
        <v>25</v>
      </c>
      <c r="K162">
        <v>800</v>
      </c>
    </row>
    <row r="163" spans="1:11" x14ac:dyDescent="0.3">
      <c r="A163" t="s">
        <v>10</v>
      </c>
      <c r="B163" t="str">
        <f>("662671075796")</f>
        <v>662671075796</v>
      </c>
      <c r="C163" t="s">
        <v>325</v>
      </c>
      <c r="D163" t="s">
        <v>326</v>
      </c>
      <c r="E163">
        <v>22.49</v>
      </c>
      <c r="F163" s="1">
        <v>45336</v>
      </c>
      <c r="G163">
        <v>0.22</v>
      </c>
      <c r="H163">
        <v>0.48499999999999999</v>
      </c>
      <c r="I163" t="str">
        <f>("10662671075793")</f>
        <v>10662671075793</v>
      </c>
      <c r="J163">
        <v>25</v>
      </c>
      <c r="K163">
        <v>800</v>
      </c>
    </row>
    <row r="164" spans="1:11" x14ac:dyDescent="0.3">
      <c r="A164" t="s">
        <v>10</v>
      </c>
      <c r="B164" t="str">
        <f>("662671641342")</f>
        <v>662671641342</v>
      </c>
      <c r="C164" t="s">
        <v>327</v>
      </c>
      <c r="D164" s="2" t="s">
        <v>328</v>
      </c>
      <c r="E164">
        <v>14.88</v>
      </c>
      <c r="F164" s="1">
        <v>45336</v>
      </c>
      <c r="G164">
        <v>8.3000000000000004E-2</v>
      </c>
      <c r="H164">
        <v>0.183</v>
      </c>
      <c r="I164" t="str">
        <f>("10662671641349")</f>
        <v>10662671641349</v>
      </c>
      <c r="J164">
        <v>12</v>
      </c>
      <c r="K164">
        <v>2304</v>
      </c>
    </row>
    <row r="165" spans="1:11" x14ac:dyDescent="0.3">
      <c r="A165" t="s">
        <v>10</v>
      </c>
      <c r="B165" t="str">
        <f>("662671645425")</f>
        <v>662671645425</v>
      </c>
      <c r="C165" t="s">
        <v>329</v>
      </c>
      <c r="D165" s="2" t="s">
        <v>330</v>
      </c>
      <c r="E165">
        <v>14.88</v>
      </c>
      <c r="F165" s="1">
        <v>45336</v>
      </c>
      <c r="G165">
        <v>8.2000000000000003E-2</v>
      </c>
      <c r="H165">
        <v>0.18099999999999999</v>
      </c>
      <c r="I165" t="str">
        <f>("10662671645422")</f>
        <v>10662671645422</v>
      </c>
      <c r="J165">
        <v>75</v>
      </c>
      <c r="K165">
        <v>2400</v>
      </c>
    </row>
    <row r="166" spans="1:11" x14ac:dyDescent="0.3">
      <c r="A166" t="s">
        <v>10</v>
      </c>
      <c r="B166" t="str">
        <f>("662671075802")</f>
        <v>662671075802</v>
      </c>
      <c r="C166" t="s">
        <v>331</v>
      </c>
      <c r="D166" s="2" t="s">
        <v>332</v>
      </c>
      <c r="E166">
        <v>14.88</v>
      </c>
      <c r="F166" s="1">
        <v>45336</v>
      </c>
      <c r="G166">
        <v>8.2000000000000003E-2</v>
      </c>
      <c r="H166">
        <v>0.18099999999999999</v>
      </c>
      <c r="I166" t="str">
        <f>("10662671075809")</f>
        <v>10662671075809</v>
      </c>
      <c r="J166">
        <v>75</v>
      </c>
      <c r="K166">
        <v>2400</v>
      </c>
    </row>
    <row r="167" spans="1:11" x14ac:dyDescent="0.3">
      <c r="A167" t="s">
        <v>10</v>
      </c>
      <c r="B167" t="str">
        <f>("662671641588")</f>
        <v>662671641588</v>
      </c>
      <c r="C167" t="s">
        <v>333</v>
      </c>
      <c r="D167" t="s">
        <v>334</v>
      </c>
      <c r="E167">
        <v>20.78</v>
      </c>
      <c r="F167" s="1">
        <v>45336</v>
      </c>
      <c r="G167">
        <v>0.24099999999999999</v>
      </c>
      <c r="H167">
        <v>0.53100000000000003</v>
      </c>
      <c r="I167" t="str">
        <f>("50662671641583")</f>
        <v>50662671641583</v>
      </c>
      <c r="J167">
        <v>12</v>
      </c>
      <c r="K167">
        <v>192</v>
      </c>
    </row>
    <row r="168" spans="1:11" x14ac:dyDescent="0.3">
      <c r="A168" t="s">
        <v>10</v>
      </c>
      <c r="B168" t="str">
        <f>("662671645470")</f>
        <v>662671645470</v>
      </c>
      <c r="C168" t="s">
        <v>335</v>
      </c>
      <c r="D168" t="s">
        <v>336</v>
      </c>
      <c r="E168">
        <v>20.149999999999999</v>
      </c>
      <c r="F168" s="1">
        <v>45336</v>
      </c>
      <c r="G168">
        <v>0.24099999999999999</v>
      </c>
      <c r="H168">
        <v>0.53100000000000003</v>
      </c>
      <c r="I168" t="str">
        <f>("10662671645477")</f>
        <v>10662671645477</v>
      </c>
      <c r="J168">
        <v>24</v>
      </c>
      <c r="K168">
        <v>432</v>
      </c>
    </row>
    <row r="169" spans="1:11" x14ac:dyDescent="0.3">
      <c r="A169" t="s">
        <v>10</v>
      </c>
      <c r="B169" t="str">
        <f>("662671075826")</f>
        <v>662671075826</v>
      </c>
      <c r="C169" t="s">
        <v>337</v>
      </c>
      <c r="D169" t="s">
        <v>338</v>
      </c>
      <c r="E169">
        <v>20.149999999999999</v>
      </c>
      <c r="F169" s="1">
        <v>45336</v>
      </c>
      <c r="G169">
        <v>0.24099999999999999</v>
      </c>
      <c r="H169">
        <v>0.53100000000000003</v>
      </c>
      <c r="I169" t="str">
        <f>("10662671075823")</f>
        <v>10662671075823</v>
      </c>
      <c r="J169">
        <v>24</v>
      </c>
      <c r="K169">
        <v>432</v>
      </c>
    </row>
    <row r="170" spans="1:11" x14ac:dyDescent="0.3">
      <c r="A170" t="s">
        <v>10</v>
      </c>
      <c r="B170" t="str">
        <f>("662671641595")</f>
        <v>662671641595</v>
      </c>
      <c r="C170" t="s">
        <v>339</v>
      </c>
      <c r="D170" t="s">
        <v>340</v>
      </c>
      <c r="E170">
        <v>13.17</v>
      </c>
      <c r="F170" s="1">
        <v>45336</v>
      </c>
      <c r="G170">
        <v>8.3000000000000004E-2</v>
      </c>
      <c r="H170">
        <v>0.183</v>
      </c>
      <c r="I170" t="str">
        <f>("10662671641592")</f>
        <v>10662671641592</v>
      </c>
      <c r="J170">
        <v>12</v>
      </c>
      <c r="K170">
        <v>2304</v>
      </c>
    </row>
    <row r="171" spans="1:11" x14ac:dyDescent="0.3">
      <c r="A171" t="s">
        <v>10</v>
      </c>
      <c r="B171" t="str">
        <f>("662671645432")</f>
        <v>662671645432</v>
      </c>
      <c r="C171" t="s">
        <v>341</v>
      </c>
      <c r="D171" t="s">
        <v>342</v>
      </c>
      <c r="E171">
        <v>12.78</v>
      </c>
      <c r="F171" s="1">
        <v>45336</v>
      </c>
      <c r="G171">
        <v>8.3000000000000004E-2</v>
      </c>
      <c r="H171">
        <v>0.183</v>
      </c>
      <c r="I171" t="str">
        <f>("10662671645439")</f>
        <v>10662671645439</v>
      </c>
      <c r="J171">
        <v>75</v>
      </c>
      <c r="K171">
        <v>2400</v>
      </c>
    </row>
    <row r="172" spans="1:11" x14ac:dyDescent="0.3">
      <c r="A172" t="s">
        <v>10</v>
      </c>
      <c r="B172" t="str">
        <f>("662671075819")</f>
        <v>662671075819</v>
      </c>
      <c r="C172" t="s">
        <v>343</v>
      </c>
      <c r="D172" t="s">
        <v>344</v>
      </c>
      <c r="E172">
        <v>12.78</v>
      </c>
      <c r="F172" s="1">
        <v>45336</v>
      </c>
      <c r="G172">
        <v>8.3000000000000004E-2</v>
      </c>
      <c r="H172">
        <v>0.183</v>
      </c>
      <c r="I172" t="str">
        <f>("10662671075816")</f>
        <v>10662671075816</v>
      </c>
      <c r="J172">
        <v>75</v>
      </c>
      <c r="K172">
        <v>2400</v>
      </c>
    </row>
    <row r="173" spans="1:11" x14ac:dyDescent="0.3">
      <c r="A173" t="s">
        <v>10</v>
      </c>
      <c r="B173" t="str">
        <f>("776744311589")</f>
        <v>776744311589</v>
      </c>
      <c r="C173" t="s">
        <v>345</v>
      </c>
      <c r="D173" t="s">
        <v>346</v>
      </c>
      <c r="E173">
        <v>13.17</v>
      </c>
      <c r="F173" s="1">
        <v>45336</v>
      </c>
      <c r="G173">
        <v>0.112</v>
      </c>
      <c r="H173">
        <v>0.247</v>
      </c>
      <c r="I173" t="str">
        <f>("10776744311586")</f>
        <v>10776744311586</v>
      </c>
      <c r="J173">
        <v>12</v>
      </c>
      <c r="K173">
        <v>720</v>
      </c>
    </row>
    <row r="174" spans="1:11" x14ac:dyDescent="0.3">
      <c r="A174" t="s">
        <v>10</v>
      </c>
      <c r="B174" t="str">
        <f>("662671645845")</f>
        <v>662671645845</v>
      </c>
      <c r="C174" t="s">
        <v>347</v>
      </c>
      <c r="D174" t="s">
        <v>348</v>
      </c>
      <c r="E174">
        <v>12.78</v>
      </c>
      <c r="F174" s="1">
        <v>45336</v>
      </c>
      <c r="G174">
        <v>0.112</v>
      </c>
      <c r="H174">
        <v>0.247</v>
      </c>
      <c r="I174" t="str">
        <f>("10662671645842")</f>
        <v>10662671645842</v>
      </c>
      <c r="J174">
        <v>35</v>
      </c>
    </row>
    <row r="175" spans="1:11" x14ac:dyDescent="0.3">
      <c r="A175" t="s">
        <v>10</v>
      </c>
      <c r="B175" t="str">
        <f>("776744264588")</f>
        <v>776744264588</v>
      </c>
      <c r="C175" t="s">
        <v>349</v>
      </c>
      <c r="D175" t="s">
        <v>350</v>
      </c>
      <c r="E175">
        <v>38.89</v>
      </c>
      <c r="F175" s="1">
        <v>45336</v>
      </c>
      <c r="G175">
        <v>0.32</v>
      </c>
      <c r="H175">
        <v>0.70499999999999996</v>
      </c>
      <c r="I175" t="str">
        <f>("10776744264585")</f>
        <v>10776744264585</v>
      </c>
      <c r="J175">
        <v>12</v>
      </c>
      <c r="K175">
        <v>960</v>
      </c>
    </row>
    <row r="176" spans="1:11" x14ac:dyDescent="0.3">
      <c r="A176" t="s">
        <v>10</v>
      </c>
      <c r="B176" t="str">
        <f>("662671642097")</f>
        <v>662671642097</v>
      </c>
      <c r="C176" t="s">
        <v>351</v>
      </c>
      <c r="D176" t="s">
        <v>352</v>
      </c>
      <c r="E176">
        <v>14.13</v>
      </c>
      <c r="F176" s="1">
        <v>45336</v>
      </c>
      <c r="G176">
        <v>0.13200000000000001</v>
      </c>
      <c r="H176">
        <v>0.29099999999999998</v>
      </c>
      <c r="I176" t="str">
        <f>("10662671642094")</f>
        <v>10662671642094</v>
      </c>
      <c r="J176">
        <v>12</v>
      </c>
      <c r="K176">
        <v>1440</v>
      </c>
    </row>
    <row r="177" spans="1:11" x14ac:dyDescent="0.3">
      <c r="A177" t="s">
        <v>10</v>
      </c>
      <c r="B177" t="str">
        <f>("662671645852")</f>
        <v>662671645852</v>
      </c>
      <c r="C177" t="s">
        <v>353</v>
      </c>
      <c r="D177" t="s">
        <v>354</v>
      </c>
      <c r="E177">
        <v>13.7</v>
      </c>
      <c r="F177" s="1">
        <v>45336</v>
      </c>
      <c r="G177">
        <v>0.13200000000000001</v>
      </c>
      <c r="H177">
        <v>0.29099999999999998</v>
      </c>
      <c r="I177" t="str">
        <f>("10662671645859")</f>
        <v>10662671645859</v>
      </c>
      <c r="J177">
        <v>30</v>
      </c>
    </row>
    <row r="178" spans="1:11" x14ac:dyDescent="0.3">
      <c r="A178" t="s">
        <v>10</v>
      </c>
      <c r="B178" t="str">
        <f>("662671075932")</f>
        <v>662671075932</v>
      </c>
      <c r="C178" t="s">
        <v>355</v>
      </c>
      <c r="D178" t="s">
        <v>356</v>
      </c>
      <c r="E178">
        <v>13.7</v>
      </c>
      <c r="F178" s="1">
        <v>45336</v>
      </c>
      <c r="G178">
        <v>0.151</v>
      </c>
      <c r="H178">
        <v>0.33300000000000002</v>
      </c>
      <c r="I178" t="str">
        <f>("10662671075939")</f>
        <v>10662671075939</v>
      </c>
      <c r="J178">
        <v>30</v>
      </c>
    </row>
    <row r="179" spans="1:11" x14ac:dyDescent="0.3">
      <c r="A179" t="s">
        <v>10</v>
      </c>
      <c r="B179" t="str">
        <f>("776744312586")</f>
        <v>776744312586</v>
      </c>
      <c r="C179" t="s">
        <v>357</v>
      </c>
      <c r="D179" t="s">
        <v>358</v>
      </c>
      <c r="E179">
        <v>11.28</v>
      </c>
      <c r="F179" s="1">
        <v>45336</v>
      </c>
      <c r="G179">
        <v>0.126</v>
      </c>
      <c r="H179">
        <v>0.27800000000000002</v>
      </c>
      <c r="I179" t="str">
        <f>("10776744312583")</f>
        <v>10776744312583</v>
      </c>
      <c r="J179">
        <v>12</v>
      </c>
      <c r="K179">
        <v>1680</v>
      </c>
    </row>
    <row r="180" spans="1:11" x14ac:dyDescent="0.3">
      <c r="A180" t="s">
        <v>10</v>
      </c>
      <c r="B180" t="str">
        <f>("662671645869")</f>
        <v>662671645869</v>
      </c>
      <c r="C180" t="s">
        <v>359</v>
      </c>
      <c r="D180" t="s">
        <v>360</v>
      </c>
      <c r="E180">
        <v>9.93</v>
      </c>
      <c r="F180" s="1">
        <v>45336</v>
      </c>
      <c r="G180">
        <v>0.126</v>
      </c>
      <c r="H180">
        <v>0.27800000000000002</v>
      </c>
      <c r="I180" t="str">
        <f>("10662671645866")</f>
        <v>10662671645866</v>
      </c>
      <c r="J180">
        <v>35</v>
      </c>
    </row>
    <row r="181" spans="1:11" x14ac:dyDescent="0.3">
      <c r="A181" t="s">
        <v>10</v>
      </c>
      <c r="B181" t="str">
        <f>("776744261587")</f>
        <v>776744261587</v>
      </c>
      <c r="C181" t="s">
        <v>361</v>
      </c>
      <c r="D181" t="s">
        <v>362</v>
      </c>
      <c r="E181">
        <v>38.17</v>
      </c>
      <c r="F181" s="1">
        <v>45336</v>
      </c>
      <c r="G181">
        <v>0.27500000000000002</v>
      </c>
      <c r="H181">
        <v>0.60599999999999998</v>
      </c>
      <c r="I181" t="str">
        <f>("10776744261584")</f>
        <v>10776744261584</v>
      </c>
      <c r="J181">
        <v>12</v>
      </c>
      <c r="K181">
        <v>1260</v>
      </c>
    </row>
    <row r="182" spans="1:11" x14ac:dyDescent="0.3">
      <c r="A182" t="s">
        <v>10</v>
      </c>
      <c r="B182" t="str">
        <f>("662671640598")</f>
        <v>662671640598</v>
      </c>
      <c r="C182">
        <v>641604</v>
      </c>
      <c r="D182" t="s">
        <v>363</v>
      </c>
      <c r="E182">
        <v>3.19</v>
      </c>
      <c r="F182" s="1">
        <v>45336</v>
      </c>
      <c r="G182">
        <v>0.05</v>
      </c>
      <c r="H182">
        <v>0.11</v>
      </c>
      <c r="I182" t="str">
        <f>("10662671640595")</f>
        <v>10662671640595</v>
      </c>
      <c r="J182">
        <v>36</v>
      </c>
      <c r="K182">
        <v>9720</v>
      </c>
    </row>
    <row r="183" spans="1:11" x14ac:dyDescent="0.3">
      <c r="A183" t="s">
        <v>10</v>
      </c>
      <c r="B183" t="str">
        <f>("662671640727")</f>
        <v>662671640727</v>
      </c>
      <c r="C183" t="s">
        <v>364</v>
      </c>
      <c r="D183" t="s">
        <v>365</v>
      </c>
      <c r="E183">
        <v>3.19</v>
      </c>
      <c r="F183" s="1">
        <v>45336</v>
      </c>
      <c r="G183">
        <v>5.0999999999999997E-2</v>
      </c>
      <c r="H183">
        <v>0.112</v>
      </c>
      <c r="I183" t="str">
        <f>("10662671640724")</f>
        <v>10662671640724</v>
      </c>
      <c r="J183">
        <v>36</v>
      </c>
      <c r="K183">
        <v>9720</v>
      </c>
    </row>
    <row r="184" spans="1:11" x14ac:dyDescent="0.3">
      <c r="A184" t="s">
        <v>10</v>
      </c>
      <c r="B184" t="str">
        <f>("662671640604")</f>
        <v>662671640604</v>
      </c>
      <c r="C184">
        <v>641608</v>
      </c>
      <c r="D184" t="s">
        <v>366</v>
      </c>
      <c r="E184">
        <v>4.3099999999999996</v>
      </c>
      <c r="F184" s="1">
        <v>45336</v>
      </c>
      <c r="G184">
        <v>8.6999999999999994E-2</v>
      </c>
      <c r="H184">
        <v>0.192</v>
      </c>
      <c r="I184" t="str">
        <f>("10662671640601")</f>
        <v>10662671640601</v>
      </c>
      <c r="J184">
        <v>36</v>
      </c>
      <c r="K184">
        <v>4860</v>
      </c>
    </row>
    <row r="185" spans="1:11" x14ac:dyDescent="0.3">
      <c r="A185" t="s">
        <v>10</v>
      </c>
      <c r="B185" t="str">
        <f>("662671075840")</f>
        <v>662671075840</v>
      </c>
      <c r="C185" t="s">
        <v>367</v>
      </c>
      <c r="D185" t="s">
        <v>368</v>
      </c>
      <c r="E185">
        <v>4.3099999999999996</v>
      </c>
      <c r="F185" s="1">
        <v>45336</v>
      </c>
      <c r="G185">
        <v>8.6999999999999994E-2</v>
      </c>
      <c r="H185">
        <v>0.192</v>
      </c>
      <c r="I185" t="str">
        <f>("10662671075847")</f>
        <v>10662671075847</v>
      </c>
      <c r="J185">
        <v>36</v>
      </c>
      <c r="K185">
        <v>4860</v>
      </c>
    </row>
    <row r="186" spans="1:11" x14ac:dyDescent="0.3">
      <c r="A186" t="s">
        <v>10</v>
      </c>
      <c r="B186" t="str">
        <f>("662671640734")</f>
        <v>662671640734</v>
      </c>
      <c r="C186" t="s">
        <v>369</v>
      </c>
      <c r="D186" t="s">
        <v>370</v>
      </c>
      <c r="E186">
        <v>4.3099999999999996</v>
      </c>
      <c r="F186" s="1">
        <v>45336</v>
      </c>
      <c r="G186">
        <v>9.1999999999999998E-2</v>
      </c>
      <c r="H186">
        <v>0.20300000000000001</v>
      </c>
      <c r="I186" t="str">
        <f>("10662671640731")</f>
        <v>10662671640731</v>
      </c>
      <c r="J186">
        <v>36</v>
      </c>
      <c r="K186">
        <v>4860</v>
      </c>
    </row>
    <row r="187" spans="1:11" x14ac:dyDescent="0.3">
      <c r="A187" t="s">
        <v>10</v>
      </c>
      <c r="B187" t="str">
        <f>("776744212589")</f>
        <v>776744212589</v>
      </c>
      <c r="C187" t="s">
        <v>371</v>
      </c>
      <c r="D187" t="s">
        <v>372</v>
      </c>
      <c r="E187">
        <v>14.13</v>
      </c>
      <c r="F187" s="1">
        <v>45336</v>
      </c>
      <c r="G187">
        <v>0.13200000000000001</v>
      </c>
      <c r="H187">
        <v>0.29099999999999998</v>
      </c>
      <c r="I187" t="str">
        <f>("10776744212586")</f>
        <v>10776744212586</v>
      </c>
      <c r="J187">
        <v>12</v>
      </c>
      <c r="K187">
        <v>720</v>
      </c>
    </row>
    <row r="188" spans="1:11" x14ac:dyDescent="0.3">
      <c r="A188" t="s">
        <v>10</v>
      </c>
      <c r="B188" t="str">
        <f>("776744213586")</f>
        <v>776744213586</v>
      </c>
      <c r="C188" t="s">
        <v>373</v>
      </c>
      <c r="D188" t="s">
        <v>374</v>
      </c>
      <c r="E188">
        <v>14</v>
      </c>
      <c r="F188" s="1">
        <v>45336</v>
      </c>
      <c r="G188">
        <v>0.114</v>
      </c>
      <c r="H188">
        <v>0.251</v>
      </c>
      <c r="I188" t="str">
        <f>("10776744213583")</f>
        <v>10776744213583</v>
      </c>
      <c r="J188">
        <v>12</v>
      </c>
      <c r="K188">
        <v>720</v>
      </c>
    </row>
    <row r="189" spans="1:11" x14ac:dyDescent="0.3">
      <c r="A189" t="s">
        <v>10</v>
      </c>
      <c r="B189" t="str">
        <f>("776744214583")</f>
        <v>776744214583</v>
      </c>
      <c r="C189" t="s">
        <v>375</v>
      </c>
      <c r="D189" t="s">
        <v>376</v>
      </c>
      <c r="E189">
        <v>14</v>
      </c>
      <c r="F189" s="1">
        <v>45336</v>
      </c>
      <c r="G189">
        <v>0.159</v>
      </c>
      <c r="H189">
        <v>0.35099999999999998</v>
      </c>
      <c r="I189" t="str">
        <f>("10776744214580")</f>
        <v>10776744214580</v>
      </c>
      <c r="J189">
        <v>12</v>
      </c>
      <c r="K189">
        <v>1176</v>
      </c>
    </row>
    <row r="190" spans="1:11" x14ac:dyDescent="0.3">
      <c r="A190" t="s">
        <v>10</v>
      </c>
      <c r="B190" t="str">
        <f>("776744215580")</f>
        <v>776744215580</v>
      </c>
      <c r="C190" t="s">
        <v>377</v>
      </c>
      <c r="D190" t="s">
        <v>378</v>
      </c>
      <c r="E190">
        <v>11.6</v>
      </c>
      <c r="F190" s="1">
        <v>45336</v>
      </c>
      <c r="G190">
        <v>0.185</v>
      </c>
      <c r="H190">
        <v>0.40799999999999997</v>
      </c>
      <c r="I190" t="str">
        <f>("10776744215587")</f>
        <v>10776744215587</v>
      </c>
      <c r="J190">
        <v>12</v>
      </c>
      <c r="K190">
        <v>1176</v>
      </c>
    </row>
    <row r="191" spans="1:11" x14ac:dyDescent="0.3">
      <c r="A191" t="s">
        <v>10</v>
      </c>
      <c r="B191" t="str">
        <f>("776744216587")</f>
        <v>776744216587</v>
      </c>
      <c r="C191" t="s">
        <v>379</v>
      </c>
      <c r="D191" t="s">
        <v>380</v>
      </c>
      <c r="E191">
        <v>12.7</v>
      </c>
      <c r="F191" s="1">
        <v>45336</v>
      </c>
      <c r="G191">
        <v>0.186</v>
      </c>
      <c r="H191">
        <v>0.41</v>
      </c>
      <c r="I191" t="str">
        <f>("10776744216584")</f>
        <v>10776744216584</v>
      </c>
      <c r="J191">
        <v>12</v>
      </c>
      <c r="K191">
        <v>1176</v>
      </c>
    </row>
    <row r="192" spans="1:11" x14ac:dyDescent="0.3">
      <c r="A192" t="s">
        <v>10</v>
      </c>
      <c r="B192" t="str">
        <f>("776744217584")</f>
        <v>776744217584</v>
      </c>
      <c r="C192" t="s">
        <v>381</v>
      </c>
      <c r="D192" t="s">
        <v>382</v>
      </c>
      <c r="E192">
        <v>13.17</v>
      </c>
      <c r="F192" s="1">
        <v>45336</v>
      </c>
      <c r="G192">
        <v>0.14199999999999999</v>
      </c>
      <c r="H192">
        <v>0.313</v>
      </c>
      <c r="I192" t="str">
        <f>("10776744217581")</f>
        <v>10776744217581</v>
      </c>
      <c r="J192">
        <v>12</v>
      </c>
      <c r="K192">
        <v>720</v>
      </c>
    </row>
    <row r="193" spans="1:11" x14ac:dyDescent="0.3">
      <c r="A193" t="s">
        <v>10</v>
      </c>
      <c r="B193" t="str">
        <f>("776744871014")</f>
        <v>776744871014</v>
      </c>
      <c r="C193" t="s">
        <v>383</v>
      </c>
      <c r="D193" t="s">
        <v>384</v>
      </c>
      <c r="E193">
        <v>7.22</v>
      </c>
      <c r="F193" s="1">
        <v>45336</v>
      </c>
      <c r="G193">
        <v>7.4999999999999997E-2</v>
      </c>
      <c r="H193">
        <v>0.16500000000000001</v>
      </c>
      <c r="I193" t="str">
        <f>("20776744871018")</f>
        <v>20776744871018</v>
      </c>
      <c r="J193">
        <v>60</v>
      </c>
      <c r="K193">
        <v>5400</v>
      </c>
    </row>
    <row r="194" spans="1:11" x14ac:dyDescent="0.3">
      <c r="A194" t="s">
        <v>10</v>
      </c>
      <c r="B194" t="str">
        <f>("776744872011")</f>
        <v>776744872011</v>
      </c>
      <c r="C194" t="s">
        <v>385</v>
      </c>
      <c r="D194" t="s">
        <v>386</v>
      </c>
      <c r="E194">
        <v>7.65</v>
      </c>
      <c r="F194" s="1">
        <v>45336</v>
      </c>
      <c r="G194">
        <v>0.15</v>
      </c>
      <c r="H194">
        <v>0.33100000000000002</v>
      </c>
      <c r="I194" t="str">
        <f>("20776744872015")</f>
        <v>20776744872015</v>
      </c>
      <c r="J194">
        <v>30</v>
      </c>
      <c r="K194">
        <v>1890</v>
      </c>
    </row>
    <row r="195" spans="1:11" x14ac:dyDescent="0.3">
      <c r="A195" t="s">
        <v>10</v>
      </c>
      <c r="B195" t="str">
        <f>("776744150010")</f>
        <v>776744150010</v>
      </c>
      <c r="C195" t="s">
        <v>387</v>
      </c>
      <c r="D195" t="s">
        <v>388</v>
      </c>
      <c r="E195">
        <v>8.16</v>
      </c>
      <c r="F195" s="1">
        <v>45336</v>
      </c>
      <c r="G195">
        <v>0.114</v>
      </c>
      <c r="H195">
        <v>0.251</v>
      </c>
      <c r="I195" t="str">
        <f>("10776744150017")</f>
        <v>10776744150017</v>
      </c>
      <c r="J195">
        <v>12</v>
      </c>
    </row>
    <row r="196" spans="1:11" x14ac:dyDescent="0.3">
      <c r="A196" t="s">
        <v>10</v>
      </c>
      <c r="B196" t="str">
        <f>("662671642325")</f>
        <v>662671642325</v>
      </c>
      <c r="C196" t="s">
        <v>389</v>
      </c>
      <c r="D196" t="s">
        <v>390</v>
      </c>
      <c r="E196">
        <v>59.93</v>
      </c>
      <c r="F196" s="1">
        <v>45336</v>
      </c>
      <c r="G196">
        <v>0.997</v>
      </c>
      <c r="H196">
        <v>2.198</v>
      </c>
      <c r="I196" t="str">
        <f>("10662671642322")</f>
        <v>10662671642322</v>
      </c>
      <c r="J196">
        <v>10</v>
      </c>
    </row>
    <row r="197" spans="1:11" x14ac:dyDescent="0.3">
      <c r="A197" t="s">
        <v>10</v>
      </c>
      <c r="B197" t="str">
        <f>("776744120112")</f>
        <v>776744120112</v>
      </c>
      <c r="C197" t="s">
        <v>391</v>
      </c>
      <c r="D197" t="s">
        <v>392</v>
      </c>
      <c r="E197">
        <v>23.19</v>
      </c>
      <c r="F197" s="1">
        <v>45336</v>
      </c>
      <c r="G197">
        <v>0.23200000000000001</v>
      </c>
      <c r="H197">
        <v>0.51100000000000001</v>
      </c>
      <c r="I197" t="str">
        <f>("10776744120119")</f>
        <v>10776744120119</v>
      </c>
      <c r="J197">
        <v>6</v>
      </c>
      <c r="K197">
        <v>300</v>
      </c>
    </row>
    <row r="198" spans="1:11" x14ac:dyDescent="0.3">
      <c r="A198" t="s">
        <v>10</v>
      </c>
      <c r="B198" t="str">
        <f>("776744913011")</f>
        <v>776744913011</v>
      </c>
      <c r="C198" t="s">
        <v>393</v>
      </c>
      <c r="D198" t="s">
        <v>394</v>
      </c>
      <c r="E198">
        <v>14.92</v>
      </c>
      <c r="F198" s="1">
        <v>45336</v>
      </c>
      <c r="G198">
        <v>0.21199999999999999</v>
      </c>
      <c r="H198">
        <v>0.46700000000000003</v>
      </c>
      <c r="I198" t="str">
        <f>("20776744913015")</f>
        <v>20776744913015</v>
      </c>
      <c r="J198">
        <v>30</v>
      </c>
      <c r="K198">
        <v>1890</v>
      </c>
    </row>
    <row r="199" spans="1:11" x14ac:dyDescent="0.3">
      <c r="A199" t="s">
        <v>10</v>
      </c>
      <c r="B199" t="str">
        <f>("662671640017")</f>
        <v>662671640017</v>
      </c>
      <c r="C199">
        <v>646015</v>
      </c>
      <c r="D199" t="s">
        <v>395</v>
      </c>
      <c r="E199">
        <v>25.45</v>
      </c>
      <c r="F199" s="1">
        <v>45336</v>
      </c>
      <c r="G199">
        <v>0.24099999999999999</v>
      </c>
      <c r="H199">
        <v>0.53100000000000003</v>
      </c>
      <c r="I199" t="str">
        <f>("10662671640014")</f>
        <v>10662671640014</v>
      </c>
      <c r="J199">
        <v>6</v>
      </c>
      <c r="K199">
        <v>216</v>
      </c>
    </row>
    <row r="200" spans="1:11" x14ac:dyDescent="0.3">
      <c r="A200" t="s">
        <v>10</v>
      </c>
      <c r="B200" t="str">
        <f>("662671640659")</f>
        <v>662671640659</v>
      </c>
      <c r="C200" t="s">
        <v>396</v>
      </c>
      <c r="D200" t="s">
        <v>397</v>
      </c>
      <c r="E200">
        <v>25.45</v>
      </c>
      <c r="F200" s="1">
        <v>45336</v>
      </c>
      <c r="G200">
        <v>0.24099999999999999</v>
      </c>
      <c r="H200">
        <v>0.53100000000000003</v>
      </c>
      <c r="I200" t="str">
        <f>("10662671640656")</f>
        <v>10662671640656</v>
      </c>
      <c r="J200">
        <v>6</v>
      </c>
      <c r="K200">
        <v>216</v>
      </c>
    </row>
    <row r="201" spans="1:11" x14ac:dyDescent="0.3">
      <c r="A201" t="s">
        <v>10</v>
      </c>
      <c r="B201" t="str">
        <f>("776744936010")</f>
        <v>776744936010</v>
      </c>
      <c r="C201" t="s">
        <v>398</v>
      </c>
      <c r="D201" t="s">
        <v>399</v>
      </c>
      <c r="E201">
        <v>7.91</v>
      </c>
      <c r="F201" s="1">
        <v>45336</v>
      </c>
      <c r="G201">
        <v>0.04</v>
      </c>
      <c r="H201">
        <v>8.7999999999999995E-2</v>
      </c>
      <c r="I201" t="str">
        <f>("20776744936014")</f>
        <v>20776744936014</v>
      </c>
      <c r="J201">
        <v>60</v>
      </c>
      <c r="K201">
        <v>3840</v>
      </c>
    </row>
    <row r="202" spans="1:11" x14ac:dyDescent="0.3">
      <c r="A202" t="s">
        <v>10</v>
      </c>
      <c r="B202" t="str">
        <f>("776744916210")</f>
        <v>776744916210</v>
      </c>
      <c r="C202" t="s">
        <v>400</v>
      </c>
      <c r="D202" t="s">
        <v>401</v>
      </c>
      <c r="E202">
        <v>24.14</v>
      </c>
      <c r="F202" s="1">
        <v>45336</v>
      </c>
      <c r="G202">
        <v>0.27200000000000002</v>
      </c>
      <c r="H202">
        <v>0.6</v>
      </c>
      <c r="I202" t="str">
        <f>("10776744916217")</f>
        <v>10776744916217</v>
      </c>
      <c r="J202">
        <v>12</v>
      </c>
      <c r="K202">
        <v>756</v>
      </c>
    </row>
    <row r="203" spans="1:11" x14ac:dyDescent="0.3">
      <c r="A203" t="s">
        <v>10</v>
      </c>
      <c r="B203" t="str">
        <f>("662671075925")</f>
        <v>662671075925</v>
      </c>
      <c r="C203" t="s">
        <v>402</v>
      </c>
      <c r="D203" t="s">
        <v>403</v>
      </c>
      <c r="E203">
        <v>24.14</v>
      </c>
      <c r="F203" s="1">
        <v>45336</v>
      </c>
      <c r="G203">
        <v>0.49099999999999999</v>
      </c>
      <c r="H203">
        <v>1.0820000000000001</v>
      </c>
      <c r="I203" t="str">
        <f>("10662671075922")</f>
        <v>10662671075922</v>
      </c>
      <c r="J203">
        <v>12</v>
      </c>
      <c r="K203">
        <v>756</v>
      </c>
    </row>
    <row r="204" spans="1:11" x14ac:dyDescent="0.3">
      <c r="A204" t="s">
        <v>10</v>
      </c>
      <c r="B204" t="str">
        <f>("627843449874")</f>
        <v>627843449874</v>
      </c>
      <c r="C204" t="s">
        <v>404</v>
      </c>
      <c r="D204" t="s">
        <v>405</v>
      </c>
      <c r="E204">
        <v>14.23</v>
      </c>
      <c r="F204" s="1">
        <v>45336</v>
      </c>
      <c r="G204">
        <v>0.24</v>
      </c>
      <c r="H204">
        <v>0.52900000000000003</v>
      </c>
      <c r="I204" t="str">
        <f>("10627843449871")</f>
        <v>10627843449871</v>
      </c>
      <c r="J204">
        <v>25</v>
      </c>
    </row>
    <row r="205" spans="1:11" x14ac:dyDescent="0.3">
      <c r="A205" t="s">
        <v>10</v>
      </c>
      <c r="B205" t="str">
        <f>("627843449867")</f>
        <v>627843449867</v>
      </c>
      <c r="C205" t="s">
        <v>406</v>
      </c>
      <c r="D205" t="s">
        <v>407</v>
      </c>
      <c r="E205">
        <v>14.23</v>
      </c>
      <c r="F205" s="1">
        <v>45336</v>
      </c>
      <c r="G205">
        <v>0.24</v>
      </c>
      <c r="H205">
        <v>0.52900000000000003</v>
      </c>
      <c r="I205" t="str">
        <f>("10627843449864")</f>
        <v>10627843449864</v>
      </c>
      <c r="J205">
        <v>25</v>
      </c>
    </row>
    <row r="206" spans="1:11" x14ac:dyDescent="0.3">
      <c r="A206" t="s">
        <v>10</v>
      </c>
      <c r="B206" t="str">
        <f>("627843449850")</f>
        <v>627843449850</v>
      </c>
      <c r="C206" t="s">
        <v>408</v>
      </c>
      <c r="D206" t="s">
        <v>409</v>
      </c>
      <c r="E206">
        <v>14.23</v>
      </c>
      <c r="F206" s="1">
        <v>45336</v>
      </c>
      <c r="G206">
        <v>0.24</v>
      </c>
      <c r="H206">
        <v>0.52900000000000003</v>
      </c>
      <c r="I206" t="str">
        <f>("10627843449857")</f>
        <v>10627843449857</v>
      </c>
      <c r="J206">
        <v>25</v>
      </c>
    </row>
    <row r="207" spans="1:11" x14ac:dyDescent="0.3">
      <c r="A207" t="s">
        <v>10</v>
      </c>
      <c r="B207" t="str">
        <f>("662671643209")</f>
        <v>662671643209</v>
      </c>
      <c r="C207" t="s">
        <v>410</v>
      </c>
      <c r="D207" t="s">
        <v>411</v>
      </c>
      <c r="E207">
        <v>13.64</v>
      </c>
      <c r="F207" s="1">
        <v>45336</v>
      </c>
      <c r="G207">
        <v>0.41099999999999998</v>
      </c>
      <c r="H207">
        <v>0.90600000000000003</v>
      </c>
      <c r="I207" t="str">
        <f>("10662671643206")</f>
        <v>10662671643206</v>
      </c>
      <c r="J207">
        <v>12</v>
      </c>
      <c r="K207">
        <v>288</v>
      </c>
    </row>
    <row r="208" spans="1:11" x14ac:dyDescent="0.3">
      <c r="A208" t="s">
        <v>10</v>
      </c>
      <c r="B208" t="str">
        <f>("662671643223")</f>
        <v>662671643223</v>
      </c>
      <c r="C208" t="s">
        <v>412</v>
      </c>
      <c r="D208" t="s">
        <v>413</v>
      </c>
      <c r="E208">
        <v>13.64</v>
      </c>
      <c r="F208" s="1">
        <v>45336</v>
      </c>
      <c r="G208">
        <v>0.46</v>
      </c>
      <c r="H208">
        <v>1.014</v>
      </c>
      <c r="I208" t="str">
        <f>("10662671643220")</f>
        <v>10662671643220</v>
      </c>
      <c r="J208">
        <v>12</v>
      </c>
      <c r="K208">
        <v>288</v>
      </c>
    </row>
    <row r="209" spans="1:11" x14ac:dyDescent="0.3">
      <c r="A209" t="s">
        <v>10</v>
      </c>
      <c r="B209" t="str">
        <f>("662671076304")</f>
        <v>662671076304</v>
      </c>
      <c r="C209" t="s">
        <v>414</v>
      </c>
      <c r="D209" t="s">
        <v>415</v>
      </c>
      <c r="E209">
        <v>38.89</v>
      </c>
      <c r="F209" s="1">
        <v>45336</v>
      </c>
      <c r="G209">
        <v>0.32</v>
      </c>
      <c r="H209">
        <v>0.70499999999999996</v>
      </c>
      <c r="I209" t="str">
        <f>("10662671076301")</f>
        <v>10662671076301</v>
      </c>
      <c r="J209">
        <v>12</v>
      </c>
      <c r="K209">
        <v>960</v>
      </c>
    </row>
    <row r="210" spans="1:11" x14ac:dyDescent="0.3">
      <c r="A210" t="s">
        <v>10</v>
      </c>
      <c r="B210" t="str">
        <f>("662671076311")</f>
        <v>662671076311</v>
      </c>
      <c r="C210" t="s">
        <v>416</v>
      </c>
      <c r="D210" t="s">
        <v>417</v>
      </c>
      <c r="E210">
        <v>38.17</v>
      </c>
      <c r="F210" s="1">
        <v>45336</v>
      </c>
      <c r="G210">
        <v>0.27500000000000002</v>
      </c>
      <c r="H210">
        <v>0.60599999999999998</v>
      </c>
      <c r="I210" t="str">
        <f>("10662671076318")</f>
        <v>10662671076318</v>
      </c>
      <c r="J210">
        <v>12</v>
      </c>
      <c r="K210">
        <v>720</v>
      </c>
    </row>
    <row r="211" spans="1:11" x14ac:dyDescent="0.3">
      <c r="A211" t="s">
        <v>10</v>
      </c>
      <c r="B211" t="str">
        <f>("776744212527")</f>
        <v>776744212527</v>
      </c>
      <c r="C211" t="s">
        <v>418</v>
      </c>
      <c r="D211" t="s">
        <v>419</v>
      </c>
      <c r="E211">
        <v>14.13</v>
      </c>
      <c r="F211" s="1">
        <v>45336</v>
      </c>
      <c r="G211">
        <v>0.13200000000000001</v>
      </c>
      <c r="H211">
        <v>0.29099999999999998</v>
      </c>
      <c r="I211" t="str">
        <f>("10776744212524")</f>
        <v>10776744212524</v>
      </c>
      <c r="J211">
        <v>12</v>
      </c>
      <c r="K211">
        <v>720</v>
      </c>
    </row>
    <row r="212" spans="1:11" x14ac:dyDescent="0.3">
      <c r="A212" t="s">
        <v>10</v>
      </c>
      <c r="B212" t="str">
        <f>("776744214521")</f>
        <v>776744214521</v>
      </c>
      <c r="C212" t="s">
        <v>420</v>
      </c>
      <c r="D212" t="s">
        <v>421</v>
      </c>
      <c r="E212">
        <v>14</v>
      </c>
      <c r="F212" s="1">
        <v>45336</v>
      </c>
      <c r="G212">
        <v>0.159</v>
      </c>
      <c r="H212">
        <v>0.35099999999999998</v>
      </c>
      <c r="I212" t="str">
        <f>("10776744214528")</f>
        <v>10776744214528</v>
      </c>
      <c r="J212">
        <v>12</v>
      </c>
      <c r="K212">
        <v>1176</v>
      </c>
    </row>
    <row r="213" spans="1:11" x14ac:dyDescent="0.3">
      <c r="A213" t="s">
        <v>10</v>
      </c>
      <c r="B213" t="str">
        <f>("776744872028")</f>
        <v>776744872028</v>
      </c>
      <c r="C213" t="s">
        <v>422</v>
      </c>
      <c r="D213" t="s">
        <v>423</v>
      </c>
      <c r="E213">
        <v>7.65</v>
      </c>
      <c r="F213" s="1">
        <v>45336</v>
      </c>
      <c r="G213">
        <v>0.15</v>
      </c>
      <c r="H213">
        <v>0.33100000000000002</v>
      </c>
      <c r="I213" t="str">
        <f>("20776744872022")</f>
        <v>20776744872022</v>
      </c>
      <c r="J213">
        <v>30</v>
      </c>
      <c r="K213">
        <v>1890</v>
      </c>
    </row>
    <row r="214" spans="1:11" x14ac:dyDescent="0.3">
      <c r="A214" t="s">
        <v>10</v>
      </c>
      <c r="B214" t="str">
        <f>("776744120129")</f>
        <v>776744120129</v>
      </c>
      <c r="C214" t="s">
        <v>424</v>
      </c>
      <c r="D214" t="s">
        <v>425</v>
      </c>
      <c r="E214">
        <v>23.19</v>
      </c>
      <c r="F214" s="1">
        <v>45336</v>
      </c>
      <c r="G214">
        <v>0.23200000000000001</v>
      </c>
      <c r="H214">
        <v>0.51100000000000001</v>
      </c>
      <c r="I214" t="str">
        <f>("10776744120126")</f>
        <v>10776744120126</v>
      </c>
      <c r="J214">
        <v>6</v>
      </c>
      <c r="K214">
        <v>300</v>
      </c>
    </row>
    <row r="215" spans="1:11" x14ac:dyDescent="0.3">
      <c r="A215" t="s">
        <v>10</v>
      </c>
      <c r="B215" t="str">
        <f>("662671610256")</f>
        <v>662671610256</v>
      </c>
      <c r="C215" t="s">
        <v>426</v>
      </c>
      <c r="D215" t="s">
        <v>427</v>
      </c>
      <c r="E215">
        <v>11.97</v>
      </c>
      <c r="F215" s="1">
        <v>45336</v>
      </c>
      <c r="G215">
        <v>0.27600000000000002</v>
      </c>
      <c r="H215">
        <v>0.60799999999999998</v>
      </c>
      <c r="I215" t="str">
        <f>("10662671610253")</f>
        <v>10662671610253</v>
      </c>
      <c r="J215">
        <v>12</v>
      </c>
      <c r="K215">
        <v>384</v>
      </c>
    </row>
    <row r="216" spans="1:11" x14ac:dyDescent="0.3">
      <c r="A216" t="s">
        <v>10</v>
      </c>
      <c r="B216" t="str">
        <f>("662671610263")</f>
        <v>662671610263</v>
      </c>
      <c r="C216" t="s">
        <v>428</v>
      </c>
      <c r="D216" t="s">
        <v>429</v>
      </c>
      <c r="E216">
        <v>11.97</v>
      </c>
      <c r="F216" s="1">
        <v>45336</v>
      </c>
      <c r="G216">
        <v>0.27500000000000002</v>
      </c>
      <c r="H216">
        <v>0.60599999999999998</v>
      </c>
      <c r="I216" t="str">
        <f>("10662671610260")</f>
        <v>10662671610260</v>
      </c>
      <c r="J216">
        <v>12</v>
      </c>
      <c r="K216">
        <v>384</v>
      </c>
    </row>
    <row r="217" spans="1:11" x14ac:dyDescent="0.3">
      <c r="A217" t="s">
        <v>10</v>
      </c>
      <c r="B217" t="str">
        <f>("662671610270")</f>
        <v>662671610270</v>
      </c>
      <c r="C217" t="s">
        <v>430</v>
      </c>
      <c r="D217" t="s">
        <v>431</v>
      </c>
      <c r="E217">
        <v>12.02</v>
      </c>
      <c r="F217" s="1">
        <v>45336</v>
      </c>
      <c r="G217">
        <v>0.42699999999999999</v>
      </c>
      <c r="H217">
        <v>0.94099999999999995</v>
      </c>
      <c r="I217" t="str">
        <f>("10662671610277")</f>
        <v>10662671610277</v>
      </c>
      <c r="J217">
        <v>12</v>
      </c>
      <c r="K217">
        <v>192</v>
      </c>
    </row>
    <row r="218" spans="1:11" x14ac:dyDescent="0.3">
      <c r="A218" t="s">
        <v>10</v>
      </c>
      <c r="B218" t="str">
        <f>("662671610430")</f>
        <v>662671610430</v>
      </c>
      <c r="C218" t="s">
        <v>432</v>
      </c>
      <c r="D218" t="s">
        <v>433</v>
      </c>
      <c r="E218">
        <v>12.02</v>
      </c>
      <c r="F218" s="1">
        <v>45336</v>
      </c>
      <c r="G218">
        <v>0.42599999999999999</v>
      </c>
      <c r="H218">
        <v>0.93899999999999995</v>
      </c>
      <c r="I218" t="str">
        <f>("10662671610437")</f>
        <v>10662671610437</v>
      </c>
      <c r="J218">
        <v>12</v>
      </c>
      <c r="K218">
        <v>192</v>
      </c>
    </row>
    <row r="219" spans="1:11" x14ac:dyDescent="0.3">
      <c r="A219" t="s">
        <v>10</v>
      </c>
      <c r="B219" t="str">
        <f>("662671610355")</f>
        <v>662671610355</v>
      </c>
      <c r="C219" t="s">
        <v>434</v>
      </c>
      <c r="D219" t="s">
        <v>435</v>
      </c>
      <c r="E219">
        <v>12.02</v>
      </c>
      <c r="F219" s="1">
        <v>45336</v>
      </c>
      <c r="G219">
        <v>0.36099999999999999</v>
      </c>
      <c r="H219">
        <v>0.79600000000000004</v>
      </c>
      <c r="I219" t="str">
        <f>("10662671610352")</f>
        <v>10662671610352</v>
      </c>
      <c r="J219">
        <v>12</v>
      </c>
      <c r="K219">
        <v>192</v>
      </c>
    </row>
    <row r="220" spans="1:11" x14ac:dyDescent="0.3">
      <c r="A220" t="s">
        <v>10</v>
      </c>
      <c r="B220" t="str">
        <f>("662671610492")</f>
        <v>662671610492</v>
      </c>
      <c r="C220" t="s">
        <v>436</v>
      </c>
      <c r="D220" t="s">
        <v>437</v>
      </c>
      <c r="E220">
        <v>12.02</v>
      </c>
      <c r="F220" s="1">
        <v>45336</v>
      </c>
      <c r="G220">
        <v>0.36099999999999999</v>
      </c>
      <c r="H220">
        <v>0.79600000000000004</v>
      </c>
      <c r="I220" t="str">
        <f>("10662671610499")</f>
        <v>10662671610499</v>
      </c>
      <c r="J220">
        <v>12</v>
      </c>
      <c r="K220">
        <v>192</v>
      </c>
    </row>
    <row r="221" spans="1:11" x14ac:dyDescent="0.3">
      <c r="A221" t="s">
        <v>10</v>
      </c>
      <c r="B221" t="str">
        <f>("662671610287")</f>
        <v>662671610287</v>
      </c>
      <c r="C221" t="s">
        <v>438</v>
      </c>
      <c r="D221" t="s">
        <v>439</v>
      </c>
      <c r="E221">
        <v>12.55</v>
      </c>
      <c r="F221" s="1">
        <v>45336</v>
      </c>
      <c r="G221">
        <v>0.44700000000000001</v>
      </c>
      <c r="H221">
        <v>0.98499999999999999</v>
      </c>
      <c r="I221" t="str">
        <f>("10662671610284")</f>
        <v>10662671610284</v>
      </c>
      <c r="J221">
        <v>12</v>
      </c>
      <c r="K221">
        <v>192</v>
      </c>
    </row>
    <row r="222" spans="1:11" x14ac:dyDescent="0.3">
      <c r="A222" t="s">
        <v>10</v>
      </c>
      <c r="B222" t="str">
        <f>("662671610447")</f>
        <v>662671610447</v>
      </c>
      <c r="C222" t="s">
        <v>440</v>
      </c>
      <c r="D222" t="s">
        <v>441</v>
      </c>
      <c r="E222">
        <v>12.55</v>
      </c>
      <c r="F222" s="1">
        <v>45336</v>
      </c>
      <c r="G222">
        <v>0.45900000000000002</v>
      </c>
      <c r="H222">
        <v>1.012</v>
      </c>
      <c r="I222" t="str">
        <f>("10662671610444")</f>
        <v>10662671610444</v>
      </c>
      <c r="J222">
        <v>12</v>
      </c>
      <c r="K222">
        <v>192</v>
      </c>
    </row>
    <row r="223" spans="1:11" x14ac:dyDescent="0.3">
      <c r="A223" t="s">
        <v>10</v>
      </c>
      <c r="B223" t="str">
        <f>("662671610546")</f>
        <v>662671610546</v>
      </c>
      <c r="C223" t="s">
        <v>442</v>
      </c>
      <c r="D223" t="s">
        <v>443</v>
      </c>
      <c r="E223">
        <v>12.55</v>
      </c>
      <c r="F223" s="1">
        <v>45336</v>
      </c>
      <c r="G223">
        <v>0.45900000000000002</v>
      </c>
      <c r="H223">
        <v>1.012</v>
      </c>
      <c r="I223" t="str">
        <f>("10662671610543")</f>
        <v>10662671610543</v>
      </c>
      <c r="J223">
        <v>12</v>
      </c>
      <c r="K223">
        <v>192</v>
      </c>
    </row>
    <row r="224" spans="1:11" x14ac:dyDescent="0.3">
      <c r="A224" t="s">
        <v>10</v>
      </c>
      <c r="B224" t="str">
        <f>("662671380296")</f>
        <v>662671380296</v>
      </c>
      <c r="C224">
        <v>383552</v>
      </c>
      <c r="D224" t="s">
        <v>444</v>
      </c>
      <c r="E224">
        <v>105.3</v>
      </c>
      <c r="F224" s="1">
        <v>45336</v>
      </c>
      <c r="G224">
        <v>1.5329999999999999</v>
      </c>
      <c r="H224">
        <v>3.38</v>
      </c>
      <c r="I224" t="str">
        <f>("10662671380293")</f>
        <v>10662671380293</v>
      </c>
      <c r="J224">
        <v>5</v>
      </c>
      <c r="K224">
        <v>90</v>
      </c>
    </row>
    <row r="225" spans="1:11" x14ac:dyDescent="0.3">
      <c r="A225" t="s">
        <v>10</v>
      </c>
      <c r="B225" t="str">
        <f>("662671380197")</f>
        <v>662671380197</v>
      </c>
      <c r="C225">
        <v>383553</v>
      </c>
      <c r="D225" t="s">
        <v>445</v>
      </c>
      <c r="E225">
        <v>105.3</v>
      </c>
      <c r="F225" s="1">
        <v>45336</v>
      </c>
      <c r="G225">
        <v>1.63</v>
      </c>
      <c r="H225">
        <v>3.5939999999999999</v>
      </c>
      <c r="I225" t="str">
        <f>("10662671380194")</f>
        <v>10662671380194</v>
      </c>
      <c r="J225">
        <v>5</v>
      </c>
      <c r="K225">
        <v>90</v>
      </c>
    </row>
    <row r="226" spans="1:11" x14ac:dyDescent="0.3">
      <c r="A226" t="s">
        <v>10</v>
      </c>
      <c r="B226" t="str">
        <f>("662671380203")</f>
        <v>662671380203</v>
      </c>
      <c r="C226">
        <v>383554</v>
      </c>
      <c r="D226" t="s">
        <v>446</v>
      </c>
      <c r="E226">
        <v>117.01</v>
      </c>
      <c r="F226" s="1">
        <v>45336</v>
      </c>
      <c r="G226">
        <v>1.7050000000000001</v>
      </c>
      <c r="H226">
        <v>3.7589999999999999</v>
      </c>
      <c r="I226" t="str">
        <f>("10662671380200")</f>
        <v>10662671380200</v>
      </c>
      <c r="J226">
        <v>5</v>
      </c>
      <c r="K226">
        <v>90</v>
      </c>
    </row>
    <row r="227" spans="1:11" x14ac:dyDescent="0.3">
      <c r="A227" t="s">
        <v>10</v>
      </c>
      <c r="B227" t="str">
        <f>("662671380364")</f>
        <v>662671380364</v>
      </c>
      <c r="C227">
        <v>383555</v>
      </c>
      <c r="D227" t="s">
        <v>447</v>
      </c>
      <c r="E227">
        <v>60.86</v>
      </c>
      <c r="F227" s="1">
        <v>45336</v>
      </c>
      <c r="G227">
        <v>1.72</v>
      </c>
      <c r="H227">
        <v>3.7919999999999998</v>
      </c>
      <c r="I227" t="str">
        <f>("10662671380361")</f>
        <v>10662671380361</v>
      </c>
      <c r="J227">
        <v>5</v>
      </c>
      <c r="K227">
        <v>625</v>
      </c>
    </row>
    <row r="228" spans="1:11" x14ac:dyDescent="0.3">
      <c r="A228" t="s">
        <v>10</v>
      </c>
      <c r="B228" t="str">
        <f>("662671380234")</f>
        <v>662671380234</v>
      </c>
      <c r="C228">
        <v>383556</v>
      </c>
      <c r="D228" t="s">
        <v>448</v>
      </c>
      <c r="E228">
        <v>149.93</v>
      </c>
      <c r="F228" s="1">
        <v>45336</v>
      </c>
      <c r="G228">
        <v>3.0880000000000001</v>
      </c>
      <c r="H228">
        <v>6.8079999999999998</v>
      </c>
      <c r="I228" t="str">
        <f>("10662671380231")</f>
        <v>10662671380231</v>
      </c>
      <c r="J228">
        <v>2</v>
      </c>
      <c r="K228">
        <v>36</v>
      </c>
    </row>
    <row r="229" spans="1:11" x14ac:dyDescent="0.3">
      <c r="A229" t="s">
        <v>10</v>
      </c>
      <c r="B229" t="str">
        <f>("662671380302")</f>
        <v>662671380302</v>
      </c>
      <c r="C229" t="s">
        <v>449</v>
      </c>
      <c r="D229" t="s">
        <v>450</v>
      </c>
      <c r="E229">
        <v>19.57</v>
      </c>
      <c r="F229" s="1">
        <v>45336</v>
      </c>
      <c r="G229">
        <v>0.253</v>
      </c>
      <c r="H229">
        <v>0.55800000000000005</v>
      </c>
      <c r="I229" t="str">
        <f>("10662671380309")</f>
        <v>10662671380309</v>
      </c>
      <c r="J229">
        <v>1</v>
      </c>
    </row>
    <row r="230" spans="1:11" x14ac:dyDescent="0.3">
      <c r="A230" t="s">
        <v>10</v>
      </c>
      <c r="B230" t="str">
        <f>("662671380319")</f>
        <v>662671380319</v>
      </c>
      <c r="C230" t="s">
        <v>451</v>
      </c>
      <c r="D230" t="s">
        <v>452</v>
      </c>
      <c r="E230">
        <v>29.71</v>
      </c>
      <c r="F230" s="1">
        <v>45336</v>
      </c>
      <c r="G230">
        <v>0.35599999999999998</v>
      </c>
      <c r="H230">
        <v>0.78500000000000003</v>
      </c>
      <c r="I230" t="str">
        <f>("10662671380316")</f>
        <v>10662671380316</v>
      </c>
      <c r="J230">
        <v>1</v>
      </c>
    </row>
    <row r="231" spans="1:11" x14ac:dyDescent="0.3">
      <c r="A231" t="s">
        <v>10</v>
      </c>
      <c r="B231" t="str">
        <f>("662671380326")</f>
        <v>662671380326</v>
      </c>
      <c r="C231" t="s">
        <v>453</v>
      </c>
      <c r="D231" t="s">
        <v>454</v>
      </c>
      <c r="E231">
        <v>27.12</v>
      </c>
      <c r="F231" s="1">
        <v>45336</v>
      </c>
      <c r="G231">
        <v>0.44400000000000001</v>
      </c>
      <c r="H231">
        <v>0.97899999999999998</v>
      </c>
      <c r="I231" t="str">
        <f>("10662671380323")</f>
        <v>10662671380323</v>
      </c>
      <c r="J231">
        <v>1</v>
      </c>
    </row>
    <row r="232" spans="1:11" x14ac:dyDescent="0.3">
      <c r="A232" t="s">
        <v>10</v>
      </c>
      <c r="B232" t="str">
        <f>("662671380333")</f>
        <v>662671380333</v>
      </c>
      <c r="C232" t="s">
        <v>455</v>
      </c>
      <c r="D232" t="s">
        <v>456</v>
      </c>
      <c r="E232">
        <v>30.94</v>
      </c>
      <c r="F232" s="1">
        <v>45336</v>
      </c>
      <c r="G232">
        <v>0.54</v>
      </c>
      <c r="H232">
        <v>1.19</v>
      </c>
      <c r="I232" t="str">
        <f>("10662671380330")</f>
        <v>10662671380330</v>
      </c>
      <c r="J232">
        <v>1</v>
      </c>
    </row>
    <row r="233" spans="1:11" x14ac:dyDescent="0.3">
      <c r="A233" t="s">
        <v>10</v>
      </c>
      <c r="B233" s="3">
        <v>662671029218</v>
      </c>
      <c r="C233" t="s">
        <v>458</v>
      </c>
      <c r="E233">
        <v>13.81</v>
      </c>
      <c r="F233" s="1">
        <v>45336</v>
      </c>
      <c r="G233">
        <v>0.114</v>
      </c>
      <c r="H233">
        <v>0.251</v>
      </c>
      <c r="I233" s="3">
        <v>10776744213583</v>
      </c>
      <c r="J233">
        <v>12</v>
      </c>
      <c r="K233">
        <v>720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1ba6191-8548-4a51-a503-7c130ef478e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CB4FB1E70BB41A42D3ED44FEA3A06" ma:contentTypeVersion="18" ma:contentTypeDescription="Create a new document." ma:contentTypeScope="" ma:versionID="8136ca70b3651e56ee72ebaecc668a9f">
  <xsd:schema xmlns:xsd="http://www.w3.org/2001/XMLSchema" xmlns:xs="http://www.w3.org/2001/XMLSchema" xmlns:p="http://schemas.microsoft.com/office/2006/metadata/properties" xmlns:ns3="41ba6191-8548-4a51-a503-7c130ef478ea" xmlns:ns4="76fd90fa-ed7f-49d1-b116-a371fe2e877a" targetNamespace="http://schemas.microsoft.com/office/2006/metadata/properties" ma:root="true" ma:fieldsID="52d4a2d307c06af08889a5077851380d" ns3:_="" ns4:_="">
    <xsd:import namespace="41ba6191-8548-4a51-a503-7c130ef478ea"/>
    <xsd:import namespace="76fd90fa-ed7f-49d1-b116-a371fe2e877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ba6191-8548-4a51-a503-7c130ef478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fd90fa-ed7f-49d1-b116-a371fe2e877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06D1470-AA26-4F6C-87C4-02D5280CD5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5F7028-08BA-4896-B5FE-43072830B309}">
  <ds:schemaRefs>
    <ds:schemaRef ds:uri="http://purl.org/dc/terms/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76fd90fa-ed7f-49d1-b116-a371fe2e877a"/>
    <ds:schemaRef ds:uri="41ba6191-8548-4a51-a503-7c130ef478ea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48B7FC-4B90-4E6A-BF57-233E301974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ba6191-8548-4a51-a503-7c130ef478ea"/>
    <ds:schemaRef ds:uri="76fd90fa-ed7f-49d1-b116-a371fe2e8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USVENT010124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Stagg, Larry</dc:creator>
  <cp:lastModifiedBy>Stagg, Larry</cp:lastModifiedBy>
  <dcterms:created xsi:type="dcterms:W3CDTF">2024-02-14T13:53:18Z</dcterms:created>
  <dcterms:modified xsi:type="dcterms:W3CDTF">2025-06-11T20:05:06Z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0x01010076BCB4FB1E70BB41A42D3ED44FEA3A06</vt:lpwstr>
  </property>
</Properties>
</file>