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inal Canplas Files\finals for Canplas march 25 - Copy\PVC DWV\"/>
    </mc:Choice>
  </mc:AlternateContent>
  <xr:revisionPtr revIDLastSave="0" documentId="13_ncr:1_{310608A0-3529-4D4C-BDB5-C300559AAC0E}" xr6:coauthVersionLast="47" xr6:coauthVersionMax="47" xr10:uidLastSave="{00000000-0000-0000-0000-000000000000}"/>
  <bookViews>
    <workbookView xWindow="2460" yWindow="252" windowWidth="18732" windowHeight="13428" xr2:uid="{C3BCC45F-62AE-4715-9E8D-0F6A679A38B1}"/>
  </bookViews>
  <sheets>
    <sheet name="PVCDWV0303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H2" i="1"/>
  <c r="B3" i="1"/>
  <c r="H3" i="1"/>
  <c r="B4" i="1"/>
  <c r="H4" i="1"/>
  <c r="B5" i="1"/>
  <c r="H5" i="1"/>
  <c r="B6" i="1"/>
  <c r="H6" i="1"/>
  <c r="B7" i="1"/>
  <c r="H7" i="1"/>
  <c r="B8" i="1"/>
  <c r="H8" i="1"/>
  <c r="B9" i="1"/>
  <c r="H9" i="1"/>
  <c r="B10" i="1"/>
  <c r="H10" i="1"/>
  <c r="B11" i="1"/>
  <c r="H11" i="1"/>
  <c r="B12" i="1"/>
  <c r="H12" i="1"/>
  <c r="B13" i="1"/>
  <c r="H13" i="1"/>
  <c r="B14" i="1"/>
  <c r="H14" i="1"/>
  <c r="B15" i="1"/>
  <c r="H15" i="1"/>
  <c r="B16" i="1"/>
  <c r="H16" i="1"/>
  <c r="B17" i="1"/>
  <c r="H17" i="1"/>
  <c r="B18" i="1"/>
  <c r="H18" i="1"/>
  <c r="B19" i="1"/>
  <c r="H19" i="1"/>
  <c r="B20" i="1"/>
  <c r="H20" i="1"/>
  <c r="B21" i="1"/>
  <c r="H21" i="1"/>
  <c r="B22" i="1"/>
  <c r="H22" i="1"/>
  <c r="B23" i="1"/>
  <c r="H23" i="1"/>
  <c r="B24" i="1"/>
  <c r="H24" i="1"/>
  <c r="B25" i="1"/>
  <c r="H25" i="1"/>
  <c r="B26" i="1"/>
  <c r="H26" i="1"/>
  <c r="B27" i="1"/>
  <c r="H27" i="1"/>
  <c r="B28" i="1"/>
  <c r="H28" i="1"/>
  <c r="B29" i="1"/>
  <c r="H29" i="1"/>
  <c r="B30" i="1"/>
  <c r="H30" i="1"/>
  <c r="B31" i="1"/>
  <c r="H31" i="1"/>
  <c r="B32" i="1"/>
  <c r="H32" i="1"/>
  <c r="B33" i="1"/>
  <c r="H33" i="1"/>
  <c r="B34" i="1"/>
  <c r="H34" i="1"/>
  <c r="B35" i="1"/>
  <c r="H35" i="1"/>
  <c r="B36" i="1"/>
  <c r="H36" i="1"/>
  <c r="B37" i="1"/>
  <c r="H37" i="1"/>
  <c r="B38" i="1"/>
  <c r="H38" i="1"/>
  <c r="B39" i="1"/>
  <c r="H39" i="1"/>
  <c r="B40" i="1"/>
  <c r="H40" i="1"/>
  <c r="B41" i="1"/>
  <c r="H41" i="1"/>
  <c r="B42" i="1"/>
  <c r="H42" i="1"/>
  <c r="B43" i="1"/>
  <c r="H43" i="1"/>
  <c r="B44" i="1"/>
  <c r="H44" i="1"/>
  <c r="B45" i="1"/>
  <c r="H45" i="1"/>
  <c r="B46" i="1"/>
  <c r="H46" i="1"/>
  <c r="B47" i="1"/>
  <c r="H47" i="1"/>
  <c r="B48" i="1"/>
  <c r="H48" i="1"/>
  <c r="B49" i="1"/>
  <c r="H49" i="1"/>
  <c r="B50" i="1"/>
  <c r="H50" i="1"/>
  <c r="B51" i="1"/>
  <c r="H51" i="1"/>
  <c r="B52" i="1"/>
  <c r="H52" i="1"/>
  <c r="B53" i="1"/>
  <c r="H53" i="1"/>
  <c r="B54" i="1"/>
  <c r="H54" i="1"/>
  <c r="B55" i="1"/>
  <c r="H55" i="1"/>
  <c r="B56" i="1"/>
  <c r="H56" i="1"/>
  <c r="B57" i="1"/>
  <c r="H57" i="1"/>
  <c r="B58" i="1"/>
  <c r="H58" i="1"/>
  <c r="B59" i="1"/>
  <c r="H59" i="1"/>
  <c r="B60" i="1"/>
  <c r="H60" i="1"/>
  <c r="B61" i="1"/>
  <c r="H61" i="1"/>
  <c r="B62" i="1"/>
  <c r="H62" i="1"/>
  <c r="B63" i="1"/>
  <c r="H63" i="1"/>
  <c r="B64" i="1"/>
  <c r="H64" i="1"/>
  <c r="B65" i="1"/>
  <c r="H65" i="1"/>
  <c r="B66" i="1"/>
  <c r="H66" i="1"/>
  <c r="B67" i="1"/>
  <c r="H67" i="1"/>
  <c r="B68" i="1"/>
  <c r="H68" i="1"/>
  <c r="B69" i="1"/>
  <c r="H69" i="1"/>
  <c r="B70" i="1"/>
  <c r="H70" i="1"/>
  <c r="B71" i="1"/>
  <c r="H71" i="1"/>
  <c r="B72" i="1"/>
  <c r="H72" i="1"/>
  <c r="B73" i="1"/>
  <c r="H73" i="1"/>
  <c r="B74" i="1"/>
  <c r="H74" i="1"/>
  <c r="B75" i="1"/>
  <c r="H75" i="1"/>
  <c r="B76" i="1"/>
  <c r="H76" i="1"/>
  <c r="B77" i="1"/>
  <c r="H77" i="1"/>
  <c r="B78" i="1"/>
  <c r="H78" i="1"/>
  <c r="B79" i="1"/>
  <c r="H79" i="1"/>
  <c r="B80" i="1"/>
  <c r="H80" i="1"/>
  <c r="B81" i="1"/>
  <c r="H81" i="1"/>
  <c r="B82" i="1"/>
  <c r="H82" i="1"/>
  <c r="B83" i="1"/>
  <c r="H83" i="1"/>
  <c r="B84" i="1"/>
  <c r="H84" i="1"/>
  <c r="B85" i="1"/>
  <c r="H85" i="1"/>
  <c r="B86" i="1"/>
  <c r="H86" i="1"/>
  <c r="B87" i="1"/>
  <c r="H87" i="1"/>
  <c r="B88" i="1"/>
  <c r="H88" i="1"/>
  <c r="B89" i="1"/>
  <c r="H89" i="1"/>
  <c r="B90" i="1"/>
  <c r="H90" i="1"/>
  <c r="B91" i="1"/>
  <c r="H91" i="1"/>
  <c r="B92" i="1"/>
  <c r="H92" i="1"/>
  <c r="B93" i="1"/>
  <c r="H93" i="1"/>
  <c r="B94" i="1"/>
  <c r="H94" i="1"/>
  <c r="B95" i="1"/>
  <c r="H95" i="1"/>
  <c r="B96" i="1"/>
  <c r="H96" i="1"/>
  <c r="B97" i="1"/>
  <c r="H97" i="1"/>
  <c r="B98" i="1"/>
  <c r="H98" i="1"/>
  <c r="B99" i="1"/>
  <c r="H99" i="1"/>
  <c r="B100" i="1"/>
  <c r="H100" i="1"/>
  <c r="B101" i="1"/>
  <c r="H101" i="1"/>
  <c r="B102" i="1"/>
  <c r="H102" i="1"/>
  <c r="B103" i="1"/>
  <c r="H103" i="1"/>
  <c r="B104" i="1"/>
  <c r="H104" i="1"/>
  <c r="B105" i="1"/>
  <c r="H105" i="1"/>
  <c r="B106" i="1"/>
  <c r="H106" i="1"/>
  <c r="B107" i="1"/>
  <c r="H107" i="1"/>
  <c r="B108" i="1"/>
  <c r="H108" i="1"/>
  <c r="B109" i="1"/>
  <c r="H109" i="1"/>
  <c r="B110" i="1"/>
  <c r="H110" i="1"/>
  <c r="B111" i="1"/>
  <c r="H111" i="1"/>
  <c r="B112" i="1"/>
  <c r="H112" i="1"/>
  <c r="B113" i="1"/>
  <c r="H113" i="1"/>
  <c r="B114" i="1"/>
  <c r="H114" i="1"/>
  <c r="B115" i="1"/>
  <c r="H115" i="1"/>
  <c r="B116" i="1"/>
  <c r="H116" i="1"/>
  <c r="B117" i="1"/>
  <c r="H117" i="1"/>
  <c r="B118" i="1"/>
  <c r="H118" i="1"/>
  <c r="B119" i="1"/>
  <c r="H119" i="1"/>
  <c r="B120" i="1"/>
  <c r="H120" i="1"/>
  <c r="B121" i="1"/>
  <c r="H121" i="1"/>
  <c r="B122" i="1"/>
  <c r="H122" i="1"/>
  <c r="B123" i="1"/>
  <c r="H123" i="1"/>
  <c r="B124" i="1"/>
  <c r="H124" i="1"/>
  <c r="B125" i="1"/>
  <c r="H125" i="1"/>
  <c r="B126" i="1"/>
  <c r="H126" i="1"/>
  <c r="B127" i="1"/>
  <c r="H127" i="1"/>
  <c r="B128" i="1"/>
  <c r="H128" i="1"/>
  <c r="B129" i="1"/>
  <c r="H129" i="1"/>
  <c r="B130" i="1"/>
  <c r="H130" i="1"/>
  <c r="B131" i="1"/>
  <c r="H131" i="1"/>
  <c r="B132" i="1"/>
  <c r="H132" i="1"/>
  <c r="B133" i="1"/>
  <c r="H133" i="1"/>
  <c r="B134" i="1"/>
  <c r="H134" i="1"/>
  <c r="B135" i="1"/>
  <c r="H135" i="1"/>
  <c r="B136" i="1"/>
  <c r="H136" i="1"/>
  <c r="B137" i="1"/>
  <c r="H137" i="1"/>
  <c r="B138" i="1"/>
  <c r="H138" i="1"/>
  <c r="B139" i="1"/>
  <c r="H139" i="1"/>
  <c r="B140" i="1"/>
  <c r="H140" i="1"/>
  <c r="B141" i="1"/>
  <c r="H141" i="1"/>
  <c r="B142" i="1"/>
  <c r="H142" i="1"/>
  <c r="B143" i="1"/>
  <c r="H143" i="1"/>
  <c r="B144" i="1"/>
  <c r="H144" i="1"/>
  <c r="B145" i="1"/>
  <c r="H145" i="1"/>
  <c r="B146" i="1"/>
  <c r="H146" i="1"/>
  <c r="B147" i="1"/>
  <c r="H147" i="1"/>
  <c r="B148" i="1"/>
  <c r="H148" i="1"/>
  <c r="B149" i="1"/>
  <c r="H149" i="1"/>
  <c r="B150" i="1"/>
  <c r="H150" i="1"/>
  <c r="B151" i="1"/>
  <c r="H151" i="1"/>
  <c r="B152" i="1"/>
  <c r="H152" i="1"/>
  <c r="B153" i="1"/>
  <c r="H153" i="1"/>
  <c r="B154" i="1"/>
  <c r="H154" i="1"/>
  <c r="B155" i="1"/>
  <c r="H155" i="1"/>
  <c r="B156" i="1"/>
  <c r="H156" i="1"/>
  <c r="B157" i="1"/>
  <c r="H157" i="1"/>
  <c r="B158" i="1"/>
  <c r="H158" i="1"/>
  <c r="B159" i="1"/>
  <c r="H159" i="1"/>
  <c r="B160" i="1"/>
  <c r="H160" i="1"/>
  <c r="B161" i="1"/>
  <c r="H161" i="1"/>
  <c r="B162" i="1"/>
  <c r="H162" i="1"/>
  <c r="B163" i="1"/>
  <c r="H163" i="1"/>
  <c r="B164" i="1"/>
  <c r="H164" i="1"/>
  <c r="B165" i="1"/>
  <c r="H165" i="1"/>
  <c r="B166" i="1"/>
  <c r="H166" i="1"/>
  <c r="B167" i="1"/>
  <c r="H167" i="1"/>
  <c r="B168" i="1"/>
  <c r="H168" i="1"/>
  <c r="B169" i="1"/>
  <c r="H169" i="1"/>
  <c r="B170" i="1"/>
  <c r="H170" i="1"/>
  <c r="B171" i="1"/>
  <c r="H171" i="1"/>
  <c r="B172" i="1"/>
  <c r="H172" i="1"/>
  <c r="B173" i="1"/>
  <c r="H173" i="1"/>
  <c r="B174" i="1"/>
  <c r="H174" i="1"/>
  <c r="B175" i="1"/>
  <c r="H175" i="1"/>
  <c r="B176" i="1"/>
  <c r="H176" i="1"/>
  <c r="B177" i="1"/>
  <c r="H177" i="1"/>
  <c r="B178" i="1"/>
  <c r="H178" i="1"/>
  <c r="B179" i="1"/>
  <c r="H179" i="1"/>
  <c r="B180" i="1"/>
  <c r="H180" i="1"/>
  <c r="B181" i="1"/>
  <c r="H181" i="1"/>
  <c r="B182" i="1"/>
  <c r="H182" i="1"/>
  <c r="B183" i="1"/>
  <c r="H183" i="1"/>
  <c r="B184" i="1"/>
  <c r="H184" i="1"/>
  <c r="B185" i="1"/>
  <c r="H185" i="1"/>
  <c r="B186" i="1"/>
  <c r="H186" i="1"/>
  <c r="B187" i="1"/>
  <c r="H187" i="1"/>
  <c r="B188" i="1"/>
  <c r="H188" i="1"/>
  <c r="B189" i="1"/>
  <c r="H189" i="1"/>
  <c r="B190" i="1"/>
  <c r="H190" i="1"/>
</calcChain>
</file>

<file path=xl/sharedStrings.xml><?xml version="1.0" encoding="utf-8"?>
<sst xmlns="http://schemas.openxmlformats.org/spreadsheetml/2006/main" count="439" uniqueCount="251">
  <si>
    <t>UPC-Code</t>
  </si>
  <si>
    <t>List Price</t>
  </si>
  <si>
    <t>Eff-Date</t>
  </si>
  <si>
    <t>Unit Wght Kgs</t>
  </si>
  <si>
    <t>Ctn Bar-Code</t>
  </si>
  <si>
    <t>Ctn Qty</t>
  </si>
  <si>
    <t>Skid Qty</t>
  </si>
  <si>
    <t>PVCDWV030325</t>
  </si>
  <si>
    <t>202107A</t>
  </si>
  <si>
    <t>202107A PVC DWV 4X3X4" RED C/O TEE W/ PLUG HXHXFPT GRY</t>
  </si>
  <si>
    <t>202114A</t>
  </si>
  <si>
    <t>202114A PVC DWV 1 1/2" C/O TEE W/PLUG HXHXFPT GRY CANPLAS</t>
  </si>
  <si>
    <t>202115A</t>
  </si>
  <si>
    <t>202115A PVC DWV 2" C/O TEE W/ PLUG HXHXFPT GRY CANPLAS</t>
  </si>
  <si>
    <t>202116A</t>
  </si>
  <si>
    <t>202116A PVC DWV 3" C/O TEE W/ PLUG HXHXFPT GRY CANPLAS</t>
  </si>
  <si>
    <t>202117A</t>
  </si>
  <si>
    <t>202117A PVC DWV 4" C/O TEE W/ PLUG HXHXFPT GRY CANPLAS</t>
  </si>
  <si>
    <t>202118A</t>
  </si>
  <si>
    <t>202118A PVC DWV 6" C/O TEE W/ PLUG HXHXFPT GRY CANPLAS</t>
  </si>
  <si>
    <t>202126 PVC DWV 2X2X1 1/2" SAN TEE HXHXH GRY CANPLAS</t>
  </si>
  <si>
    <t>202127 PVC DWV 2X1 1/2X2" SAN TEE HXHXH GRY CANPLAS</t>
  </si>
  <si>
    <t>202128 PVC DWV 2X1 1/2X1 1/2" SAN TEE HXHXH GRY CANPLAS</t>
  </si>
  <si>
    <t>202130 PVC DWV 3X3X2" SAN TEE HXHXH GRY CANPLAS</t>
  </si>
  <si>
    <t>202131 PVC DWV 3X3X1 1/2" SAN TEE HXHXH GRY CANPLAS</t>
  </si>
  <si>
    <t>202134 PVC DWV 4X4X2" SAN TEE HXHXH GRY CANPLAS</t>
  </si>
  <si>
    <t>202136 PVC DWV 4X4X3" SAN TEE HXHXH GRY CANPLAS</t>
  </si>
  <si>
    <t>202144 PVC DWV 6X6X4" SAN TEE HXHXH GRY CANPLAS</t>
  </si>
  <si>
    <t>202148L</t>
  </si>
  <si>
    <t>202148L PVC DWV 3X3X3X1 1/2" SAN TEE LEFT IN HXHXHXH GRY</t>
  </si>
  <si>
    <t>202148R</t>
  </si>
  <si>
    <t>202148R PVC DWV 3X3X3X1 1/2" SAN TEE RIGHT IN HXHXHXH GRY</t>
  </si>
  <si>
    <t>202151 PVC DWV 1 1/2" SAN TEE HXHXH GRY CANPLAS</t>
  </si>
  <si>
    <t>202152 PVC DWV 2" SAN TEE HXHXH GRY CANPLAS</t>
  </si>
  <si>
    <t>202153 PVC DWV 3" SAN TEE HXHXH GRY CANPLAS</t>
  </si>
  <si>
    <t>202154 PVC DWV 4" SAN TEE HXHXH GRY CANPLAS</t>
  </si>
  <si>
    <t>202156 PVC DWV 6" SAN TEE HXHXH GRY CANPLAS</t>
  </si>
  <si>
    <t>202181 PVC DWV 3X2" DBL SAN TEE HXHXHXH GRY CANPLAS</t>
  </si>
  <si>
    <t>202184 PVC DWV 3" DBL SAN TEE HXHXHXH GRY CANPLAS</t>
  </si>
  <si>
    <t>202185 PVC DWV 4" DBL SAN TEE HXHXHXH GRY CANPLAS</t>
  </si>
  <si>
    <t>202186 PVC DWV 2" DBL SAN TEE HXHXHXH GRY CANPLAS</t>
  </si>
  <si>
    <t>202188 PVC DWV 2X1 1/2" DBL SAN TEE HXHXHXH GRY CANPLAS</t>
  </si>
  <si>
    <t>202189 PVC DWV 3X1 1/2" DBL SAN TEE HXHXHXH GRY CANPLAS</t>
  </si>
  <si>
    <t>202223 PVC DWV 4X3" 90D RED CLSTELL HXH GRY CANPLAS</t>
  </si>
  <si>
    <t>202251 PVC DWV 1 1/2" 90D ELL SHORT HXH GRY CANPLAS</t>
  </si>
  <si>
    <t>202251L</t>
  </si>
  <si>
    <t>202251L PVC DWV 1 1/2" 90D ELL HXH GRY CANPLAS</t>
  </si>
  <si>
    <t>202252 PVC DWV 2" 90D ELL SHORT HXH GRY CANPLAS</t>
  </si>
  <si>
    <t>202252L</t>
  </si>
  <si>
    <t>202252L PVC DWV 2" 90D ELL HXH GRY CANPLAS</t>
  </si>
  <si>
    <t>202253 PVC DWV 3" 90D ELL SHORT HXH GRY CANPLAS</t>
  </si>
  <si>
    <t>202253L</t>
  </si>
  <si>
    <t>202253L PVC DWV 3" 90D ELL HXH GRY CANPLAS</t>
  </si>
  <si>
    <t>202254 PVC DWV 4" 90D ELL SHORT HXH GRY CANPLAS</t>
  </si>
  <si>
    <t>202254L</t>
  </si>
  <si>
    <t>202254L PVC DWV 4" 90D ELL HXH GRY CANPLAS</t>
  </si>
  <si>
    <t>202256 PVC DWV 6" 90D ELL SHORT HXH GRY CANPLAS</t>
  </si>
  <si>
    <t>202258 PVC DWV 8" 90D ELL SHORT HXH GRY CANPLAS</t>
  </si>
  <si>
    <t>202301 PVC DWV 1 1/2" WYE HXHXH GRY CANPLAS</t>
  </si>
  <si>
    <t>202302 PVC DWV 2" WYE HXHXH GRY CANPLAS</t>
  </si>
  <si>
    <t>202303 PVC DWV 3" WYE HXHXH GRY CANPLAS</t>
  </si>
  <si>
    <t>202304 PVC DWV 4" WYE HXHXH GRY CANPLAS</t>
  </si>
  <si>
    <t>202306 PVC DWV 6" WYE HXHXH GRY CANPLAS</t>
  </si>
  <si>
    <t>202307 PVC DWV 8X8X4" WYE HXHXH GRY CANPLAS</t>
  </si>
  <si>
    <t>202308 PVC DWV 8" WYE HXHXH GRY CANPLAS</t>
  </si>
  <si>
    <t>202309 PVC DWV 8X8X6" WYE HXHXH GRY CANPLAS</t>
  </si>
  <si>
    <t>202324 PVC DWV 2X1 1/2X1 1/2" WYE HXHXH GRY CANPLAS</t>
  </si>
  <si>
    <t>202325 PVC DWV 2X2X1 1/2" WYE HXHXH GRY CANPLAS</t>
  </si>
  <si>
    <t>202326 PVC DWV 3X3X2" WYE HXHXH GRY CANPLAS</t>
  </si>
  <si>
    <t>202327 PVC DWV 4X4X3" WYE HXHXH GRY CANPLAS</t>
  </si>
  <si>
    <t>202328 PVC DWV 4X4X2" WYE HXHXH GRY CANPLAS</t>
  </si>
  <si>
    <t>202331 PVC DWV 3X3X1 1/2" WYE HXHXH GRY CANPLAS</t>
  </si>
  <si>
    <t>202343 PVC DWV 6X6X3" WYE HXHXH GRY CANPLAS</t>
  </si>
  <si>
    <t>202344 PVC DWV 6X6X4" WYE HXHXHXH GRY CANPLAS</t>
  </si>
  <si>
    <t>202352 PVC DWV 2" DBL WYE HXHXHXH GRY CANPLAS</t>
  </si>
  <si>
    <t>202353 PVC DWV 3" DBL WYE HXHXHXH GRY CANPLAS</t>
  </si>
  <si>
    <t>202374 PVC DWV 2X1 1/2" DBL WYE HXHXHXH GRY CANPLAS</t>
  </si>
  <si>
    <t>202377 PVC DWV 3X2" DBL WYE HXHXHXH GRY CANPLAS</t>
  </si>
  <si>
    <t>202381 PVC DWV 4X3" DBL WYE HXHXHXH GRY CANPLAS</t>
  </si>
  <si>
    <t>202406 PVC DWV 6" 45D STR ELL SHORT SPGXH GRY CANPLAS</t>
  </si>
  <si>
    <t>202421 PVC DWV 1 1/2" 45D STR ELL SHORT SPGXH GRY</t>
  </si>
  <si>
    <t>202422 PVC DWV 2" 45D STR ELL SHORT SPGXH GRY CANPLAS</t>
  </si>
  <si>
    <t>202423 PVC DWV 3" 45D STR ELL SHORT SPGXH GRY CANPLAS</t>
  </si>
  <si>
    <t>202424 PVC DWV 4" 45D STR ELL SHORT SPGXH GRY CANPLAS</t>
  </si>
  <si>
    <t>202451 PVC DWV 1 1/2" 90D STR ELL SHORT SPGXH GRY</t>
  </si>
  <si>
    <t>202452 PVC DWV 2" 90D STR ELL SHORT SPGXH GRY CANPLAS</t>
  </si>
  <si>
    <t>202453 PVC DWV 3" 90D STR ELL SHORT SPGXH GRY CANPLAS</t>
  </si>
  <si>
    <t>202453L</t>
  </si>
  <si>
    <t>202453L PVC DWV 3" 90D STR ELL SPGXH GRY CANPLAS</t>
  </si>
  <si>
    <t>202454 PVC DWV 4" 90D STR ELL SHORT SPGXH GRY CANPLAS</t>
  </si>
  <si>
    <t>202456 PVC DWV 6" 90D STR ELL SHORT SPGXH GRY CANPLAS</t>
  </si>
  <si>
    <t>202506 PVC DWV 6" 45D ELL SHORT HXH GRY CANPLAS</t>
  </si>
  <si>
    <t>202521 PVC DWV 1 1/2" 45D ELL SHORT HXH GRY CANPLAS</t>
  </si>
  <si>
    <t>202522 PVC DWV 2" 45D ELL SHORT HXH GRY CANPLAS</t>
  </si>
  <si>
    <t>202523 PVC DWV 3" 45D ELL SHORT HXH GRY CANPLAS</t>
  </si>
  <si>
    <t>202524 PVC DWV 4" 45D ELL SHORT HXH GRY CANPLAS</t>
  </si>
  <si>
    <t>202528 PVC DWV 8" 45D ELL SHORT HXH GRY CANPLAS</t>
  </si>
  <si>
    <t>202551 PVC DWV 1 1/2" 22.5D ELL SHORT HXH GRY CANPLAS</t>
  </si>
  <si>
    <t>202552 PVC DWV 2" 22.5D ELL SHORT HXH GRY CANPLAS</t>
  </si>
  <si>
    <t>202553 PVC DWV 3" 22.5D ELL SHORT HXH GRY CANPLAS</t>
  </si>
  <si>
    <t>202554 PVC DWV 4" 22.5D ELL SHORT HXH GRY CANPLAS</t>
  </si>
  <si>
    <t>202556 PVC DWV 6" 22.5D ELL SHORT HXH GRY CANPLAS</t>
  </si>
  <si>
    <t>202601 PVC DWV 1 1/2" 60D ELL LONG TURN HXH GRY CANPLAS</t>
  </si>
  <si>
    <t>202602 PVC DWV 2" 60D ELL LONG TURN HXH GRY CANPLAS</t>
  </si>
  <si>
    <t>202603 PVC DWV 3" 60D ELL LONG TURN HXH GRY CANPLAS</t>
  </si>
  <si>
    <t>202604 PVC DWV 4" 60D ELL LONG TURN HXH GRY CANPLAS</t>
  </si>
  <si>
    <t>202747 PVC DWV 1 1/2X1 /2" FLUSHBUSH SPGXFPT GRY CANPLAS</t>
  </si>
  <si>
    <t>202749 PVC DWV 1 1/2X3/4" FLUSH BUSH SPGXFPT GRY CANPLAS</t>
  </si>
  <si>
    <t>202752 PVC DWV 2X1 1/2" RED BUSHSPGXH GRY CANPLAS</t>
  </si>
  <si>
    <t>202754 PVC DWV 3X2" RED BUSH SPGXH GRY CANPLAS</t>
  </si>
  <si>
    <t>202756 PVC DWV 4X3" RED BUSH SPGXH GRY CANPLAS</t>
  </si>
  <si>
    <t>202758 PVC DWV 4X2" RED BUSH SPGXH GRY CANPLAS</t>
  </si>
  <si>
    <t>202762 PVC DWV 3X1 1/2" RED BUSHSPGXH GRY CANPLAS</t>
  </si>
  <si>
    <t>202767 PVC DWV 6X4" RED BUSH SPGXH GRY CANPLAS</t>
  </si>
  <si>
    <t>202769 PVC DWV 8X6" RED BUSH SPGXH GRY CANPLAS</t>
  </si>
  <si>
    <t>202770 PVC DWV 8X4" RED BUSH SPGXH GRY CANPLAS</t>
  </si>
  <si>
    <t>202801 PVC DWV 1 1/2" TRAP ADPT SPGXMPT GRY CANPLAS</t>
  </si>
  <si>
    <t>202801A</t>
  </si>
  <si>
    <t>202801A PVC DWV 1 1/2" TRAP ADPT W/WSHR &amp; NUT SPGXSLIP GRY</t>
  </si>
  <si>
    <t>202842 PVC DWV 4" TRAP ADPT DWV TO SEW SPGXH GRY CANPLAS</t>
  </si>
  <si>
    <t>202846 PVC DWV 6" TRAP ADPT DWV TO SEW SPGXH GRY CANPLAS</t>
  </si>
  <si>
    <t>202851A</t>
  </si>
  <si>
    <t>202851A PVC DWV 1 1/2" TRAP ADPT W/WSHR &amp; NUT HXSLIP GRY</t>
  </si>
  <si>
    <t>202860 PVC DWV 1 1/2X1 1/4" TRAPADPT MPTXH GRY CANPLAS</t>
  </si>
  <si>
    <t>202860A</t>
  </si>
  <si>
    <t>202860A PVC DWV 1 1/2X1 1/4" TRAPADPT W/WSHR &amp; NUT HXSLIP</t>
  </si>
  <si>
    <t>202861A</t>
  </si>
  <si>
    <t>202861A PVC DWV 1 1/2" PIPE ADPT COP TO DWV HXSLIP GRY</t>
  </si>
  <si>
    <t>202864A</t>
  </si>
  <si>
    <t>202864A PVC DWV 1 1/2X1 1/4" PIPEADPT COP TO DWV HXSLIP</t>
  </si>
  <si>
    <t>202871 PVC DWV 1 1/2" MALE ADPT MPTXH GRY CANPLAS</t>
  </si>
  <si>
    <t>202872 PVC DWV 2" MALE ADPT MPTXH GRY CANPLAS</t>
  </si>
  <si>
    <t>202873 PVC DWV 3" MALE ADPT MPTXH GRY CANPLAS</t>
  </si>
  <si>
    <t>202874 PVC DWV 4" MALE ADPT MPTXH GRY CANPLAS</t>
  </si>
  <si>
    <t>202891 PVC DWV 1 1/2" FEM ADPT FPTXH GRY CANPLAS</t>
  </si>
  <si>
    <t>202892 PVC DWV 2" FEM ADPT FPTXHGRY CANPLAS</t>
  </si>
  <si>
    <t>202893 PVC DWV 3" FEM ADPT FPTXHGRY CANPLAS</t>
  </si>
  <si>
    <t>202893A</t>
  </si>
  <si>
    <t>202893A PVC DWV 3" FEM ADPT W/ C/O RING &amp; PLUG FPTXH GRY</t>
  </si>
  <si>
    <t>202894 PVC DWV 4" FEM ADPT FPTXHGRY CANPLAS</t>
  </si>
  <si>
    <t>203001 PVC DWV 1 1/2" CPLG HXH GRY CANPLAS</t>
  </si>
  <si>
    <t>203002 PVC DWV 2" CPLG HXH GRY CANPLAS</t>
  </si>
  <si>
    <t>203003 PVC DWV 3" CPLG HXH GRY CANPLAS</t>
  </si>
  <si>
    <t>203004 PVC DWV 4" CPLG HXH GRY CANPLAS</t>
  </si>
  <si>
    <t>203006 PVC DWV 6" CPLG HXH GRY CANPLAS</t>
  </si>
  <si>
    <t>203008 PVC DWV 8" CPLG HXH GRY CANPLAS</t>
  </si>
  <si>
    <t>203022 PVC DWV 2X1 1/2" RED CPLGHXH GRY CANPLAS</t>
  </si>
  <si>
    <t>203023 PVC DWV 3X1 1/2" RED CPLGHXH GRY CANPLAS</t>
  </si>
  <si>
    <t>203024 PVC DWV 3X2" RED CPLG HXHGRY CANPLAS</t>
  </si>
  <si>
    <t>203025 PVC DWV 4X2" RED CPLG HXHGRY CANPLAS</t>
  </si>
  <si>
    <t>203026 PVC DWV 4X3" RED CPLG HXHGRY CANPLAS</t>
  </si>
  <si>
    <t>203029 PVC DWV 4X1 1/2" RED CPLGHXH GRY CANPLAS</t>
  </si>
  <si>
    <t>203037 PVC DWV 6X4" RED CPLG H/SPG GRY CANPLAS</t>
  </si>
  <si>
    <t>203052 PVC DWV 2" C/O PLUG W/ ORING MPT GRY CANPLAS</t>
  </si>
  <si>
    <t>203053 PVC DWV 3" C/O PLUG W/ ORING MPT GRY CANPLAS</t>
  </si>
  <si>
    <t>203054 PVC DWV 4" C/O PLUG W/ ORING MPT GRY CANPLAS</t>
  </si>
  <si>
    <t>203081 PVC DWV 1 1/2" CAP H GRY CANPLAS</t>
  </si>
  <si>
    <t>203082 PVC DWV 2" CAP H GRY CANPLAS</t>
  </si>
  <si>
    <t>203083 PVC DWV 3" CAP H GRY CANPLAS</t>
  </si>
  <si>
    <t>203084 PVC DWV 4" CAP H GRY CANPLAS</t>
  </si>
  <si>
    <t>203086 PVC DWV 6" CAP H GRY CANPLAS</t>
  </si>
  <si>
    <t>203088 PVC DWV 8" CAP H GRY CANPLAS</t>
  </si>
  <si>
    <t>203201 PVC DWV 1 1/2" PTRAP SOL WELD HXH GRY CANPLAS</t>
  </si>
  <si>
    <t>203201A</t>
  </si>
  <si>
    <t>203201A PVC DWV 1 1/2" PTRAP SOL WELD W/ C/O &amp; PLUG HXH</t>
  </si>
  <si>
    <t>203202 PVC DWV 2" PTRAP SOL WELDHXH GRY CANPLAS</t>
  </si>
  <si>
    <t>203202A</t>
  </si>
  <si>
    <t>203202A PVC DWV 2" PTRAP SOL WELDW/ C/O &amp; PLUG HXH GRY</t>
  </si>
  <si>
    <t>203203 PVC DWV 3" PTRAP SOL WELDHXH GRY CANPLAS</t>
  </si>
  <si>
    <t>203204 PVC DWV 4" PTRAP SOL WELDHXH GRY CANPLAS</t>
  </si>
  <si>
    <t>203206-1</t>
  </si>
  <si>
    <t>203206-1 PVC DWV 6" U BEND HXH GRYCANPLAS</t>
  </si>
  <si>
    <t>203211A</t>
  </si>
  <si>
    <t>203211A PVC DWV 1 1/2" PTRAP UNION W/ C/O &amp; PLUG HXH</t>
  </si>
  <si>
    <t>203211E</t>
  </si>
  <si>
    <t>203211E PVC DWV 1 1/2" PTRAP UNION HXH GRY CANPLAS</t>
  </si>
  <si>
    <t>203211Y</t>
  </si>
  <si>
    <t>203211Y PVC DWV 1 1/2X1 1/4" TRAPADPT SPGXSLIP</t>
  </si>
  <si>
    <t>203212E</t>
  </si>
  <si>
    <t>203212E PVC DWV 2" TRAP ADPT SPGXSLIP GRY CANPLAS</t>
  </si>
  <si>
    <t>203217 PVC DWV 1 1/2" SWIVEL TRAY ADPT W/ GSKT HXFPT</t>
  </si>
  <si>
    <t>203231A</t>
  </si>
  <si>
    <t>203231A PVC DWV 1 1/2" PTRAP UNION W/ C/O &amp; PLUG HXH</t>
  </si>
  <si>
    <t>203231E</t>
  </si>
  <si>
    <t>203231E PVC DWV 1 1/2" PTRAP UNION HXH GRY CANPLAS</t>
  </si>
  <si>
    <t>203422 PVC DWV 2" NO HUB ADPT HXSPG GRY CANPLAS</t>
  </si>
  <si>
    <t>203423 PVC DWV 3" NO HUB ADPT HXSPG GRY CANPLAS</t>
  </si>
  <si>
    <t>203424 PVC DWV 4" NO HUB ADPT HXSPG GRY CANPLAS</t>
  </si>
  <si>
    <t>203624 PVC DWV 4X3" ADJ CLST FLNG H GRY CANPLAS</t>
  </si>
  <si>
    <t>203624T</t>
  </si>
  <si>
    <t>203624T PVC DWV 4X3" ADJ CLST FLNG W/ TSTP H GRY</t>
  </si>
  <si>
    <t>203626 PVC DWV 4X3" ADJ CLST FLNG SPG GRY CANPLAS</t>
  </si>
  <si>
    <t>203626T</t>
  </si>
  <si>
    <t>203626T PVC DWV 4X3" ADJ CLST FLNG W/ TSTP SPG GRY</t>
  </si>
  <si>
    <t>203631 PVC DWV 4X3" 1PC CLST FLNG H/SPG GRY CANPLAS</t>
  </si>
  <si>
    <t>203631T</t>
  </si>
  <si>
    <t>203631T PVC DWV 4X3" CLST FLNG W/TSTP H/SPG GRY CANPLAS</t>
  </si>
  <si>
    <t>203634 PVC DWV 4X3" CLST FLNG W/GUSSETS H GRY CANPLAS</t>
  </si>
  <si>
    <t>203634T</t>
  </si>
  <si>
    <t>203634T PVC DWV 4X3" 1PC CLST FLNG W/ TSTP H GRY</t>
  </si>
  <si>
    <t>203701-1</t>
  </si>
  <si>
    <t>203701-1 PVC DWV 1 1/2" FEM ADPT SPGXFPT GRY CANPLAS</t>
  </si>
  <si>
    <t>203701A</t>
  </si>
  <si>
    <t>203701A PVC DWV 1 1/2" FEM ADPT W/ PLUG SPGXFPT GRY</t>
  </si>
  <si>
    <t>203702-1</t>
  </si>
  <si>
    <t>203702-1 PVC DWV 2 FTG C/O ADAP SPGXFPT</t>
  </si>
  <si>
    <t>203702A</t>
  </si>
  <si>
    <t>203702A PVC DWV 2" FEM ADPT W/ PLUG SPGXFPT GRY CANPLAS</t>
  </si>
  <si>
    <t>203703-1</t>
  </si>
  <si>
    <t>203703-1 PVC DWV 3 FTG C/O ADAP SPGXFPT</t>
  </si>
  <si>
    <t>203703A</t>
  </si>
  <si>
    <t>203703A PVC DWV 3" FEM ADPT W/ PLUG SPGXFPT GRY CANPLAS</t>
  </si>
  <si>
    <t>203704-1</t>
  </si>
  <si>
    <t>203704-1 PVC DWV 4" FEM ADPT SPGXFPT GRY CANPLAS</t>
  </si>
  <si>
    <t>203704A</t>
  </si>
  <si>
    <t>203704A PVC DWV 4" FEM ADPT W/ PLUG SPGXFPT GRY CANPLAS</t>
  </si>
  <si>
    <t>203706-1</t>
  </si>
  <si>
    <t>203706-1 PVC DWV 6" FEM ADPT SPGXFPT GRY CANPLAS</t>
  </si>
  <si>
    <t>203706A</t>
  </si>
  <si>
    <t>203706A PVC DWV 6" FEM ADPT W/ PLUG SPGXFPT GRY CANPLAS</t>
  </si>
  <si>
    <t>203864 PVC DWV 4" DRN GRATE SPG GRY CANPLAS</t>
  </si>
  <si>
    <t>203931 PVC DWV 1 1/2" SLIP JNT NUT FPT GRY CANPLAS</t>
  </si>
  <si>
    <t>205131 PVC DWV 3X3X1 1/2" STR SAN TEE SPGXHXH GRY</t>
  </si>
  <si>
    <t>205303 PVC DWV 3" STR WYE SPGXHXH GRY CANPLAS</t>
  </si>
  <si>
    <t>212171A</t>
  </si>
  <si>
    <t>212171A PVC DWV 1 1/2" SAN TEE TRAP ADPT HXHXSLIP</t>
  </si>
  <si>
    <t>212281A</t>
  </si>
  <si>
    <t>212281A PVC DWV 1 1/2" 90D TRAP ADPT W/GSKT&amp;NUT HXSLIP</t>
  </si>
  <si>
    <t>212291A</t>
  </si>
  <si>
    <t>212291A PVC DWV 1 1/2" 90D SINK STRN ADPT W/GSKT&amp;NUT</t>
  </si>
  <si>
    <t>212321 PVC DWV 1 1/2" APP WYE HXHXSPG GRY CANPLAS</t>
  </si>
  <si>
    <t>213628 PVC DWV 4X3" 45D ADJ CLSTFLNG H GRY CANPLAS</t>
  </si>
  <si>
    <t>213660 PVC DWV 2" URNL FLNG 4" CTR SPG GRY CANPLAS</t>
  </si>
  <si>
    <t>213661 PVC DWV 2" ADJ URNL FLNG 4"- 7" CTR SPG GRY</t>
  </si>
  <si>
    <t>213662 PVC DWV 2" URNL FLNG 4" CTR H GRY CANPLAS</t>
  </si>
  <si>
    <t>213663 PVC DWV 2" ADJ URNL FLNG 4"- 7" CTR H GRY CANPLAS</t>
  </si>
  <si>
    <t>219180-002</t>
  </si>
  <si>
    <t>219180-002 PVC DWV 4X3" CL FLNG SPACER RING 4 HOLE GRY</t>
  </si>
  <si>
    <t>213811ABC</t>
  </si>
  <si>
    <t>213811ABC PVC DWV 1 1/2" EXP JOINT TYPE 1 HXH GRY CANPLAS</t>
  </si>
  <si>
    <t>213812ABC</t>
  </si>
  <si>
    <t>213812ABC PVC DWV 2" EXP JOINT TYPE1 HXH GRY CANPLAS</t>
  </si>
  <si>
    <t>213813ABC</t>
  </si>
  <si>
    <t>213813ABC PVC DWV 3" EXP JOINT TYPE1 HXH GRY CANPLAS</t>
  </si>
  <si>
    <t>213811BBC</t>
  </si>
  <si>
    <t>213811BBC PVC DWV 1 1/2" EXP JOINT TYPE 1 HXSPG GRY CANPLAS</t>
  </si>
  <si>
    <t>213812BBC</t>
  </si>
  <si>
    <t>213812BBC PVC DWV 2" EXP JOINT TYPE1 HXSPG GRY CANPLAS</t>
  </si>
  <si>
    <t>Price list name</t>
  </si>
  <si>
    <t>Product Number</t>
  </si>
  <si>
    <t>Product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</si>
</sst>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5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B36F3-4FD9-479C-B5B9-AB0A06431731}">
  <dimension ref="A1:J190"/>
  <sheetViews>
    <sheetView tabSelected="1" workbookViewId="0">
      <selection activeCell="I9" sqref="I9"/>
    </sheetView>
  </sheetViews>
  <sheetFormatPr defaultRowHeight="14.4" x14ac:dyDescent="0.3"/>
  <cols>
    <col min="1" max="1" width="14.33203125" style="1" bestFit="1" customWidth="1"/>
    <col min="2" max="2" width="12.88671875" style="1" bestFit="1" customWidth="1"/>
    <col min="3" max="3" width="13.21875" style="1" bestFit="1" customWidth="1"/>
    <col min="4" max="4" width="56.44140625" style="1" bestFit="1" customWidth="1"/>
    <col min="5" max="5" width="8.88671875" style="1"/>
    <col min="6" max="6" width="9.21875" style="1" bestFit="1" customWidth="1"/>
    <col min="7" max="7" width="8.88671875" style="1"/>
    <col min="8" max="8" width="14.88671875" style="1" bestFit="1" customWidth="1"/>
    <col min="9" max="9" width="6.88671875" style="1" bestFit="1" customWidth="1"/>
    <col min="10" max="10" width="7.33203125" style="1" bestFit="1" customWidth="1"/>
  </cols>
  <sheetData>
    <row r="1" spans="1:10" ht="28.8" x14ac:dyDescent="0.3">
      <c r="A1" s="1" t="s">
        <v>248</v>
      </c>
      <c r="B1" s="1" t="s">
        <v>0</v>
      </c>
      <c r="C1" s="1" t="s">
        <v>249</v>
      </c>
      <c r="D1" s="1" t="s">
        <v>250</v>
      </c>
      <c r="E1" s="1" t="s">
        <v>1</v>
      </c>
      <c r="F1" s="1" t="s">
        <v>2</v>
      </c>
      <c r="G1" s="2" t="s">
        <v>3</v>
      </c>
      <c r="H1" s="1" t="s">
        <v>4</v>
      </c>
      <c r="I1" s="1" t="s">
        <v>5</v>
      </c>
      <c r="J1" s="1" t="s">
        <v>6</v>
      </c>
    </row>
    <row r="2" spans="1:10" x14ac:dyDescent="0.3">
      <c r="A2" s="1" t="s">
        <v>7</v>
      </c>
      <c r="B2" s="1" t="str">
        <f>("662671200013")</f>
        <v>662671200013</v>
      </c>
      <c r="C2" s="1" t="s">
        <v>8</v>
      </c>
      <c r="D2" s="1" t="s">
        <v>9</v>
      </c>
      <c r="E2" s="1">
        <v>212.26</v>
      </c>
      <c r="F2" s="3">
        <v>45719</v>
      </c>
      <c r="G2" s="1">
        <v>1.026</v>
      </c>
      <c r="H2" s="1" t="str">
        <f>("10662671200010")</f>
        <v>10662671200010</v>
      </c>
      <c r="I2" s="1">
        <v>15</v>
      </c>
      <c r="J2" s="1">
        <v>270</v>
      </c>
    </row>
    <row r="3" spans="1:10" x14ac:dyDescent="0.3">
      <c r="A3" s="1" t="s">
        <v>7</v>
      </c>
      <c r="B3" s="1" t="str">
        <f>("662671200037")</f>
        <v>662671200037</v>
      </c>
      <c r="C3" s="1" t="s">
        <v>10</v>
      </c>
      <c r="D3" s="1" t="s">
        <v>11</v>
      </c>
      <c r="E3" s="1">
        <v>45.46</v>
      </c>
      <c r="F3" s="3">
        <v>45719</v>
      </c>
      <c r="G3" s="1">
        <v>0.108</v>
      </c>
      <c r="H3" s="1" t="str">
        <f>("10662671200034")</f>
        <v>10662671200034</v>
      </c>
      <c r="I3" s="1">
        <v>50</v>
      </c>
      <c r="J3" s="1">
        <v>2400</v>
      </c>
    </row>
    <row r="4" spans="1:10" x14ac:dyDescent="0.3">
      <c r="A4" s="1" t="s">
        <v>7</v>
      </c>
      <c r="B4" s="1" t="str">
        <f>("662671200044")</f>
        <v>662671200044</v>
      </c>
      <c r="C4" s="1" t="s">
        <v>12</v>
      </c>
      <c r="D4" s="1" t="s">
        <v>13</v>
      </c>
      <c r="E4" s="1">
        <v>73.11</v>
      </c>
      <c r="F4" s="3">
        <v>45719</v>
      </c>
      <c r="G4" s="1">
        <v>0.188</v>
      </c>
      <c r="H4" s="1" t="str">
        <f>("10662671200041")</f>
        <v>10662671200041</v>
      </c>
      <c r="I4" s="1">
        <v>45</v>
      </c>
      <c r="J4" s="1">
        <v>1440</v>
      </c>
    </row>
    <row r="5" spans="1:10" x14ac:dyDescent="0.3">
      <c r="A5" s="1" t="s">
        <v>7</v>
      </c>
      <c r="B5" s="1" t="str">
        <f>("662671200051")</f>
        <v>662671200051</v>
      </c>
      <c r="C5" s="1" t="s">
        <v>14</v>
      </c>
      <c r="D5" s="1" t="s">
        <v>15</v>
      </c>
      <c r="E5" s="1">
        <v>124.25</v>
      </c>
      <c r="F5" s="3">
        <v>45719</v>
      </c>
      <c r="G5" s="1">
        <v>0.54400000000000004</v>
      </c>
      <c r="H5" s="1" t="str">
        <f>("10662671200058")</f>
        <v>10662671200058</v>
      </c>
      <c r="I5" s="1">
        <v>15</v>
      </c>
      <c r="J5" s="1">
        <v>480</v>
      </c>
    </row>
    <row r="6" spans="1:10" x14ac:dyDescent="0.3">
      <c r="A6" s="1" t="s">
        <v>7</v>
      </c>
      <c r="B6" s="1" t="str">
        <f>("662671200068")</f>
        <v>662671200068</v>
      </c>
      <c r="C6" s="1" t="s">
        <v>16</v>
      </c>
      <c r="D6" s="1" t="s">
        <v>17</v>
      </c>
      <c r="E6" s="1">
        <v>223.64</v>
      </c>
      <c r="F6" s="3">
        <v>45719</v>
      </c>
      <c r="G6" s="1">
        <v>1.0369999999999999</v>
      </c>
      <c r="H6" s="1" t="str">
        <f>("10662671200065")</f>
        <v>10662671200065</v>
      </c>
      <c r="I6" s="1">
        <v>10</v>
      </c>
      <c r="J6" s="1">
        <v>240</v>
      </c>
    </row>
    <row r="7" spans="1:10" x14ac:dyDescent="0.3">
      <c r="A7" s="1" t="s">
        <v>7</v>
      </c>
      <c r="B7" s="1" t="str">
        <f>("662671202444")</f>
        <v>662671202444</v>
      </c>
      <c r="C7" s="1" t="s">
        <v>18</v>
      </c>
      <c r="D7" s="1" t="s">
        <v>19</v>
      </c>
      <c r="E7" s="1">
        <v>755.69</v>
      </c>
      <c r="F7" s="3">
        <v>45719</v>
      </c>
      <c r="G7" s="1">
        <v>2.69</v>
      </c>
      <c r="H7" s="1" t="str">
        <f>("10662671202441")</f>
        <v>10662671202441</v>
      </c>
      <c r="I7" s="1">
        <v>4</v>
      </c>
      <c r="J7" s="1">
        <v>72</v>
      </c>
    </row>
    <row r="8" spans="1:10" x14ac:dyDescent="0.3">
      <c r="A8" s="1" t="s">
        <v>7</v>
      </c>
      <c r="B8" s="1" t="str">
        <f>("662671200075")</f>
        <v>662671200075</v>
      </c>
      <c r="C8" s="1">
        <v>202126</v>
      </c>
      <c r="D8" s="1" t="s">
        <v>20</v>
      </c>
      <c r="E8" s="1">
        <v>26.47</v>
      </c>
      <c r="F8" s="3">
        <v>45719</v>
      </c>
      <c r="G8" s="1">
        <v>0.17499999999999999</v>
      </c>
      <c r="H8" s="1" t="str">
        <f>("10662671200072")</f>
        <v>10662671200072</v>
      </c>
      <c r="I8" s="1">
        <v>50</v>
      </c>
      <c r="J8" s="1">
        <v>1600</v>
      </c>
    </row>
    <row r="9" spans="1:10" x14ac:dyDescent="0.3">
      <c r="A9" s="1" t="s">
        <v>7</v>
      </c>
      <c r="B9" s="1" t="str">
        <f>("662671200082")</f>
        <v>662671200082</v>
      </c>
      <c r="C9" s="1">
        <v>202127</v>
      </c>
      <c r="D9" s="1" t="s">
        <v>21</v>
      </c>
      <c r="E9" s="1">
        <v>41.93</v>
      </c>
      <c r="F9" s="3">
        <v>45719</v>
      </c>
      <c r="G9" s="1">
        <v>0.186</v>
      </c>
      <c r="H9" s="1" t="str">
        <f>("10662671200089")</f>
        <v>10662671200089</v>
      </c>
      <c r="I9" s="1">
        <v>25</v>
      </c>
      <c r="J9" s="1">
        <v>1800</v>
      </c>
    </row>
    <row r="10" spans="1:10" x14ac:dyDescent="0.3">
      <c r="A10" s="1" t="s">
        <v>7</v>
      </c>
      <c r="B10" s="1" t="str">
        <f>("662671200099")</f>
        <v>662671200099</v>
      </c>
      <c r="C10" s="1">
        <v>202128</v>
      </c>
      <c r="D10" s="1" t="s">
        <v>22</v>
      </c>
      <c r="E10" s="1">
        <v>27.13</v>
      </c>
      <c r="F10" s="3">
        <v>45719</v>
      </c>
      <c r="G10" s="1">
        <v>0.16500000000000001</v>
      </c>
      <c r="H10" s="1" t="str">
        <f>("10662671200096")</f>
        <v>10662671200096</v>
      </c>
      <c r="I10" s="1">
        <v>35</v>
      </c>
      <c r="J10" s="1">
        <v>1680</v>
      </c>
    </row>
    <row r="11" spans="1:10" x14ac:dyDescent="0.3">
      <c r="A11" s="1" t="s">
        <v>7</v>
      </c>
      <c r="B11" s="1" t="str">
        <f>("662671200105")</f>
        <v>662671200105</v>
      </c>
      <c r="C11" s="1">
        <v>202130</v>
      </c>
      <c r="D11" s="1" t="s">
        <v>23</v>
      </c>
      <c r="E11" s="1">
        <v>56.92</v>
      </c>
      <c r="F11" s="3">
        <v>45719</v>
      </c>
      <c r="G11" s="1">
        <v>0.39</v>
      </c>
      <c r="H11" s="1" t="str">
        <f>("10662671200102")</f>
        <v>10662671200102</v>
      </c>
      <c r="I11" s="1">
        <v>20</v>
      </c>
      <c r="J11" s="1">
        <v>640</v>
      </c>
    </row>
    <row r="12" spans="1:10" x14ac:dyDescent="0.3">
      <c r="A12" s="1" t="s">
        <v>7</v>
      </c>
      <c r="B12" s="1" t="str">
        <f>("662671200112")</f>
        <v>662671200112</v>
      </c>
      <c r="C12" s="1">
        <v>202131</v>
      </c>
      <c r="D12" s="1" t="s">
        <v>24</v>
      </c>
      <c r="E12" s="1">
        <v>52.02</v>
      </c>
      <c r="F12" s="3">
        <v>45719</v>
      </c>
      <c r="G12" s="1">
        <v>0.32600000000000001</v>
      </c>
      <c r="H12" s="1" t="str">
        <f>("10662671200119")</f>
        <v>10662671200119</v>
      </c>
      <c r="I12" s="1">
        <v>25</v>
      </c>
      <c r="J12" s="1">
        <v>800</v>
      </c>
    </row>
    <row r="13" spans="1:10" x14ac:dyDescent="0.3">
      <c r="A13" s="1" t="s">
        <v>7</v>
      </c>
      <c r="B13" s="1" t="str">
        <f>("662671200129")</f>
        <v>662671200129</v>
      </c>
      <c r="C13" s="1">
        <v>202134</v>
      </c>
      <c r="D13" s="1" t="s">
        <v>25</v>
      </c>
      <c r="E13" s="1">
        <v>132.19</v>
      </c>
      <c r="F13" s="3">
        <v>45719</v>
      </c>
      <c r="G13" s="1">
        <v>0.61</v>
      </c>
      <c r="H13" s="1" t="str">
        <f>("30662671200120")</f>
        <v>30662671200120</v>
      </c>
      <c r="I13" s="1">
        <v>15</v>
      </c>
      <c r="J13" s="1">
        <v>360</v>
      </c>
    </row>
    <row r="14" spans="1:10" x14ac:dyDescent="0.3">
      <c r="A14" s="1" t="s">
        <v>7</v>
      </c>
      <c r="B14" s="1" t="str">
        <f>("662671200136")</f>
        <v>662671200136</v>
      </c>
      <c r="C14" s="1">
        <v>202136</v>
      </c>
      <c r="D14" s="1" t="s">
        <v>26</v>
      </c>
      <c r="E14" s="1">
        <v>158.07</v>
      </c>
      <c r="F14" s="3">
        <v>45719</v>
      </c>
      <c r="G14" s="1">
        <v>0.91</v>
      </c>
      <c r="H14" s="1" t="str">
        <f>("10662671200133")</f>
        <v>10662671200133</v>
      </c>
      <c r="I14" s="1">
        <v>15</v>
      </c>
      <c r="J14" s="1">
        <v>270</v>
      </c>
    </row>
    <row r="15" spans="1:10" x14ac:dyDescent="0.3">
      <c r="A15" s="1" t="s">
        <v>7</v>
      </c>
      <c r="B15" s="1" t="str">
        <f>("662671202765")</f>
        <v>662671202765</v>
      </c>
      <c r="C15" s="1">
        <v>202144</v>
      </c>
      <c r="D15" s="1" t="s">
        <v>27</v>
      </c>
      <c r="E15" s="1">
        <v>579.09</v>
      </c>
      <c r="F15" s="3">
        <v>45719</v>
      </c>
      <c r="G15" s="1">
        <v>1.958</v>
      </c>
      <c r="H15" s="1" t="str">
        <f>("10662671202762")</f>
        <v>10662671202762</v>
      </c>
      <c r="I15" s="1">
        <v>5</v>
      </c>
      <c r="J15" s="1">
        <v>90</v>
      </c>
    </row>
    <row r="16" spans="1:10" x14ac:dyDescent="0.3">
      <c r="A16" s="1" t="s">
        <v>7</v>
      </c>
      <c r="B16" s="1" t="str">
        <f>("662671200167")</f>
        <v>662671200167</v>
      </c>
      <c r="C16" s="1" t="s">
        <v>28</v>
      </c>
      <c r="D16" s="1" t="s">
        <v>29</v>
      </c>
      <c r="E16" s="1">
        <v>152.66</v>
      </c>
      <c r="F16" s="3">
        <v>45719</v>
      </c>
      <c r="G16" s="1">
        <v>0.70199999999999996</v>
      </c>
      <c r="H16" s="1" t="str">
        <f>("10662671200164")</f>
        <v>10662671200164</v>
      </c>
      <c r="I16" s="1">
        <v>10</v>
      </c>
      <c r="J16" s="1">
        <v>320</v>
      </c>
    </row>
    <row r="17" spans="1:10" x14ac:dyDescent="0.3">
      <c r="A17" s="1" t="s">
        <v>7</v>
      </c>
      <c r="B17" s="1" t="str">
        <f>("662671200174")</f>
        <v>662671200174</v>
      </c>
      <c r="C17" s="1" t="s">
        <v>30</v>
      </c>
      <c r="D17" s="1" t="s">
        <v>31</v>
      </c>
      <c r="E17" s="1">
        <v>152.66</v>
      </c>
      <c r="F17" s="3">
        <v>45719</v>
      </c>
      <c r="G17" s="1">
        <v>0.69499999999999995</v>
      </c>
      <c r="H17" s="1" t="str">
        <f>("10662671200171")</f>
        <v>10662671200171</v>
      </c>
      <c r="I17" s="1">
        <v>10</v>
      </c>
      <c r="J17" s="1">
        <v>320</v>
      </c>
    </row>
    <row r="18" spans="1:10" x14ac:dyDescent="0.3">
      <c r="A18" s="1" t="s">
        <v>7</v>
      </c>
      <c r="B18" s="1" t="str">
        <f>("662671200181")</f>
        <v>662671200181</v>
      </c>
      <c r="C18" s="1">
        <v>202151</v>
      </c>
      <c r="D18" s="1" t="s">
        <v>32</v>
      </c>
      <c r="E18" s="1">
        <v>18.149999999999999</v>
      </c>
      <c r="F18" s="3">
        <v>45719</v>
      </c>
      <c r="G18" s="1">
        <v>0.11</v>
      </c>
      <c r="H18" s="1" t="str">
        <f>("10662671200188")</f>
        <v>10662671200188</v>
      </c>
      <c r="I18" s="1">
        <v>90</v>
      </c>
      <c r="J18" s="1">
        <v>2880</v>
      </c>
    </row>
    <row r="19" spans="1:10" x14ac:dyDescent="0.3">
      <c r="A19" s="1" t="s">
        <v>7</v>
      </c>
      <c r="B19" s="1" t="str">
        <f>("662671200198")</f>
        <v>662671200198</v>
      </c>
      <c r="C19" s="1">
        <v>202152</v>
      </c>
      <c r="D19" s="1" t="s">
        <v>33</v>
      </c>
      <c r="E19" s="1">
        <v>33.35</v>
      </c>
      <c r="F19" s="3">
        <v>45719</v>
      </c>
      <c r="G19" s="1">
        <v>0.17899999999999999</v>
      </c>
      <c r="H19" s="1" t="str">
        <f>("10662671200195")</f>
        <v>10662671200195</v>
      </c>
      <c r="I19" s="1">
        <v>45</v>
      </c>
      <c r="J19" s="1">
        <v>1440</v>
      </c>
    </row>
    <row r="20" spans="1:10" x14ac:dyDescent="0.3">
      <c r="A20" s="1" t="s">
        <v>7</v>
      </c>
      <c r="B20" s="1" t="str">
        <f>("662671200204")</f>
        <v>662671200204</v>
      </c>
      <c r="C20" s="1">
        <v>202153</v>
      </c>
      <c r="D20" s="1" t="s">
        <v>34</v>
      </c>
      <c r="E20" s="1">
        <v>73.400000000000006</v>
      </c>
      <c r="F20" s="3">
        <v>45719</v>
      </c>
      <c r="G20" s="1">
        <v>0.56699999999999995</v>
      </c>
      <c r="H20" s="1" t="str">
        <f>("10662671200201")</f>
        <v>10662671200201</v>
      </c>
      <c r="I20" s="1">
        <v>20</v>
      </c>
      <c r="J20" s="1">
        <v>360</v>
      </c>
    </row>
    <row r="21" spans="1:10" x14ac:dyDescent="0.3">
      <c r="A21" s="1" t="s">
        <v>7</v>
      </c>
      <c r="B21" s="1" t="str">
        <f>("662671200211")</f>
        <v>662671200211</v>
      </c>
      <c r="C21" s="1">
        <v>202154</v>
      </c>
      <c r="D21" s="1" t="s">
        <v>35</v>
      </c>
      <c r="E21" s="1">
        <v>133.05000000000001</v>
      </c>
      <c r="F21" s="3">
        <v>45719</v>
      </c>
      <c r="G21" s="1">
        <v>1.0920000000000001</v>
      </c>
      <c r="H21" s="1" t="str">
        <f>("10662671200218")</f>
        <v>10662671200218</v>
      </c>
      <c r="I21" s="1">
        <v>12</v>
      </c>
      <c r="J21" s="1">
        <v>216</v>
      </c>
    </row>
    <row r="22" spans="1:10" x14ac:dyDescent="0.3">
      <c r="A22" s="1" t="s">
        <v>7</v>
      </c>
      <c r="B22" s="1" t="str">
        <f>("662671202680")</f>
        <v>662671202680</v>
      </c>
      <c r="C22" s="1">
        <v>202156</v>
      </c>
      <c r="D22" s="1" t="s">
        <v>36</v>
      </c>
      <c r="E22" s="1">
        <v>487.33</v>
      </c>
      <c r="F22" s="3">
        <v>45719</v>
      </c>
      <c r="G22" s="1">
        <v>2.7559999999999998</v>
      </c>
      <c r="H22" s="1" t="str">
        <f>("10662671202687")</f>
        <v>10662671202687</v>
      </c>
      <c r="I22" s="1">
        <v>3</v>
      </c>
      <c r="J22" s="1">
        <v>72</v>
      </c>
    </row>
    <row r="23" spans="1:10" x14ac:dyDescent="0.3">
      <c r="A23" s="1" t="s">
        <v>7</v>
      </c>
      <c r="B23" s="1" t="str">
        <f>("662671200235")</f>
        <v>662671200235</v>
      </c>
      <c r="C23" s="1">
        <v>202181</v>
      </c>
      <c r="D23" s="1" t="s">
        <v>37</v>
      </c>
      <c r="E23" s="1">
        <v>99.98</v>
      </c>
      <c r="F23" s="3">
        <v>45719</v>
      </c>
      <c r="G23" s="1">
        <v>0.50600000000000001</v>
      </c>
      <c r="H23" s="1" t="str">
        <f>("10662671200232")</f>
        <v>10662671200232</v>
      </c>
      <c r="I23" s="1">
        <v>15</v>
      </c>
      <c r="J23" s="1">
        <v>480</v>
      </c>
    </row>
    <row r="24" spans="1:10" x14ac:dyDescent="0.3">
      <c r="A24" s="1" t="s">
        <v>7</v>
      </c>
      <c r="B24" s="1" t="str">
        <f>("662671200242")</f>
        <v>662671200242</v>
      </c>
      <c r="C24" s="1">
        <v>202184</v>
      </c>
      <c r="D24" s="1" t="s">
        <v>38</v>
      </c>
      <c r="E24" s="1">
        <v>109.61</v>
      </c>
      <c r="F24" s="3">
        <v>45719</v>
      </c>
      <c r="G24" s="1">
        <v>0.82199999999999995</v>
      </c>
      <c r="H24" s="1" t="str">
        <f>("10662671200249")</f>
        <v>10662671200249</v>
      </c>
      <c r="I24" s="1">
        <v>5</v>
      </c>
      <c r="J24" s="1">
        <v>240</v>
      </c>
    </row>
    <row r="25" spans="1:10" x14ac:dyDescent="0.3">
      <c r="A25" s="1" t="s">
        <v>7</v>
      </c>
      <c r="B25" s="1" t="str">
        <f>("662671200259")</f>
        <v>662671200259</v>
      </c>
      <c r="C25" s="1">
        <v>202185</v>
      </c>
      <c r="D25" s="1" t="s">
        <v>39</v>
      </c>
      <c r="E25" s="1">
        <v>432.09</v>
      </c>
      <c r="F25" s="3">
        <v>45719</v>
      </c>
      <c r="G25" s="1">
        <v>1.4350000000000001</v>
      </c>
      <c r="H25" s="1" t="str">
        <f>("10662671200256")</f>
        <v>10662671200256</v>
      </c>
      <c r="I25" s="1">
        <v>8</v>
      </c>
      <c r="J25" s="1">
        <v>144</v>
      </c>
    </row>
    <row r="26" spans="1:10" x14ac:dyDescent="0.3">
      <c r="A26" s="1" t="s">
        <v>7</v>
      </c>
      <c r="B26" s="1" t="str">
        <f>("662671200266")</f>
        <v>662671200266</v>
      </c>
      <c r="C26" s="1">
        <v>202186</v>
      </c>
      <c r="D26" s="1" t="s">
        <v>40</v>
      </c>
      <c r="E26" s="1">
        <v>69.319999999999993</v>
      </c>
      <c r="F26" s="3">
        <v>45719</v>
      </c>
      <c r="G26" s="1">
        <v>0.26</v>
      </c>
      <c r="H26" s="1" t="str">
        <f>("10662671200263")</f>
        <v>10662671200263</v>
      </c>
      <c r="I26" s="1">
        <v>10</v>
      </c>
      <c r="J26" s="1">
        <v>720</v>
      </c>
    </row>
    <row r="27" spans="1:10" x14ac:dyDescent="0.3">
      <c r="A27" s="1" t="s">
        <v>7</v>
      </c>
      <c r="B27" s="1" t="str">
        <f>("662671200280")</f>
        <v>662671200280</v>
      </c>
      <c r="C27" s="1">
        <v>202188</v>
      </c>
      <c r="D27" s="1" t="s">
        <v>41</v>
      </c>
      <c r="E27" s="1">
        <v>78.81</v>
      </c>
      <c r="F27" s="3">
        <v>45719</v>
      </c>
      <c r="G27" s="1">
        <v>0.22800000000000001</v>
      </c>
      <c r="H27" s="1" t="str">
        <f>("10662671200287")</f>
        <v>10662671200287</v>
      </c>
      <c r="I27" s="1">
        <v>20</v>
      </c>
      <c r="J27" s="1">
        <v>960</v>
      </c>
    </row>
    <row r="28" spans="1:10" x14ac:dyDescent="0.3">
      <c r="A28" s="1" t="s">
        <v>7</v>
      </c>
      <c r="B28" s="1" t="str">
        <f>("662671200297")</f>
        <v>662671200297</v>
      </c>
      <c r="C28" s="1">
        <v>202189</v>
      </c>
      <c r="D28" s="1" t="s">
        <v>42</v>
      </c>
      <c r="E28" s="1">
        <v>95.85</v>
      </c>
      <c r="F28" s="3">
        <v>45719</v>
      </c>
      <c r="G28" s="1">
        <v>0.40300000000000002</v>
      </c>
      <c r="H28" s="1" t="str">
        <f>("10662671200294")</f>
        <v>10662671200294</v>
      </c>
      <c r="I28" s="1">
        <v>15</v>
      </c>
      <c r="J28" s="1">
        <v>480</v>
      </c>
    </row>
    <row r="29" spans="1:10" x14ac:dyDescent="0.3">
      <c r="A29" s="1" t="s">
        <v>7</v>
      </c>
      <c r="B29" s="1" t="str">
        <f>("662671200303")</f>
        <v>662671200303</v>
      </c>
      <c r="C29" s="1">
        <v>202223</v>
      </c>
      <c r="D29" s="1" t="s">
        <v>43</v>
      </c>
      <c r="E29" s="1">
        <v>132.63999999999999</v>
      </c>
      <c r="F29" s="3">
        <v>45719</v>
      </c>
      <c r="G29" s="1">
        <v>0.6</v>
      </c>
      <c r="H29" s="1" t="str">
        <f>("10662671200300")</f>
        <v>10662671200300</v>
      </c>
      <c r="I29" s="1">
        <v>20</v>
      </c>
      <c r="J29" s="1">
        <v>360</v>
      </c>
    </row>
    <row r="30" spans="1:10" x14ac:dyDescent="0.3">
      <c r="A30" s="1" t="s">
        <v>7</v>
      </c>
      <c r="B30" s="1" t="str">
        <f>("662671200310")</f>
        <v>662671200310</v>
      </c>
      <c r="C30" s="1">
        <v>202251</v>
      </c>
      <c r="D30" s="1" t="s">
        <v>44</v>
      </c>
      <c r="E30" s="1">
        <v>12.97</v>
      </c>
      <c r="F30" s="3">
        <v>45719</v>
      </c>
      <c r="G30" s="1">
        <v>7.8E-2</v>
      </c>
      <c r="H30" s="1" t="str">
        <f>("10662671200317")</f>
        <v>10662671200317</v>
      </c>
      <c r="I30" s="1">
        <v>125</v>
      </c>
      <c r="J30" s="1">
        <v>4000</v>
      </c>
    </row>
    <row r="31" spans="1:10" x14ac:dyDescent="0.3">
      <c r="A31" s="1" t="s">
        <v>7</v>
      </c>
      <c r="B31" s="1" t="str">
        <f>("662671200327")</f>
        <v>662671200327</v>
      </c>
      <c r="C31" s="1" t="s">
        <v>45</v>
      </c>
      <c r="D31" s="1" t="s">
        <v>46</v>
      </c>
      <c r="E31" s="1">
        <v>16.16</v>
      </c>
      <c r="F31" s="3">
        <v>45719</v>
      </c>
      <c r="G31" s="1">
        <v>9.8000000000000004E-2</v>
      </c>
      <c r="H31" s="1" t="str">
        <f>("10662671200324")</f>
        <v>10662671200324</v>
      </c>
      <c r="I31" s="1">
        <v>110</v>
      </c>
      <c r="J31" s="1">
        <v>3520</v>
      </c>
    </row>
    <row r="32" spans="1:10" x14ac:dyDescent="0.3">
      <c r="A32" s="1" t="s">
        <v>7</v>
      </c>
      <c r="B32" s="1" t="str">
        <f>("662671200334")</f>
        <v>662671200334</v>
      </c>
      <c r="C32" s="1">
        <v>202252</v>
      </c>
      <c r="D32" s="1" t="s">
        <v>47</v>
      </c>
      <c r="E32" s="1">
        <v>18.98</v>
      </c>
      <c r="F32" s="3">
        <v>45719</v>
      </c>
      <c r="G32" s="1">
        <v>0.11600000000000001</v>
      </c>
      <c r="H32" s="1" t="str">
        <f>("10662671200331")</f>
        <v>10662671200331</v>
      </c>
      <c r="I32" s="1">
        <v>50</v>
      </c>
      <c r="J32" s="1">
        <v>2400</v>
      </c>
    </row>
    <row r="33" spans="1:10" x14ac:dyDescent="0.3">
      <c r="A33" s="1" t="s">
        <v>7</v>
      </c>
      <c r="B33" s="1" t="str">
        <f>("662671200341")</f>
        <v>662671200341</v>
      </c>
      <c r="C33" s="1" t="s">
        <v>48</v>
      </c>
      <c r="D33" s="1" t="s">
        <v>49</v>
      </c>
      <c r="E33" s="1">
        <v>18.98</v>
      </c>
      <c r="F33" s="3">
        <v>45719</v>
      </c>
      <c r="G33" s="1">
        <v>0.128</v>
      </c>
      <c r="H33" s="1" t="str">
        <f>("10662671200348")</f>
        <v>10662671200348</v>
      </c>
      <c r="I33" s="1">
        <v>50</v>
      </c>
      <c r="J33" s="1">
        <v>1600</v>
      </c>
    </row>
    <row r="34" spans="1:10" x14ac:dyDescent="0.3">
      <c r="A34" s="1" t="s">
        <v>7</v>
      </c>
      <c r="B34" s="1" t="str">
        <f>("662671200358")</f>
        <v>662671200358</v>
      </c>
      <c r="C34" s="1">
        <v>202253</v>
      </c>
      <c r="D34" s="1" t="s">
        <v>50</v>
      </c>
      <c r="E34" s="1">
        <v>53.61</v>
      </c>
      <c r="F34" s="3">
        <v>45719</v>
      </c>
      <c r="G34" s="1">
        <v>0.41399999999999998</v>
      </c>
      <c r="H34" s="1" t="str">
        <f>("10662671200355")</f>
        <v>10662671200355</v>
      </c>
      <c r="I34" s="1">
        <v>20</v>
      </c>
      <c r="J34" s="1">
        <v>640</v>
      </c>
    </row>
    <row r="35" spans="1:10" x14ac:dyDescent="0.3">
      <c r="A35" s="1" t="s">
        <v>7</v>
      </c>
      <c r="B35" s="1" t="str">
        <f>("662671200365")</f>
        <v>662671200365</v>
      </c>
      <c r="C35" s="1" t="s">
        <v>51</v>
      </c>
      <c r="D35" s="1" t="s">
        <v>52</v>
      </c>
      <c r="E35" s="1">
        <v>53.61</v>
      </c>
      <c r="F35" s="3">
        <v>45719</v>
      </c>
      <c r="G35" s="1">
        <v>0.41899999999999998</v>
      </c>
      <c r="H35" s="1" t="str">
        <f>("10662671200362")</f>
        <v>10662671200362</v>
      </c>
      <c r="I35" s="1">
        <v>15</v>
      </c>
      <c r="J35" s="1">
        <v>480</v>
      </c>
    </row>
    <row r="36" spans="1:10" x14ac:dyDescent="0.3">
      <c r="A36" s="1" t="s">
        <v>7</v>
      </c>
      <c r="B36" s="1" t="str">
        <f>("662671200372")</f>
        <v>662671200372</v>
      </c>
      <c r="C36" s="1">
        <v>202254</v>
      </c>
      <c r="D36" s="1" t="s">
        <v>53</v>
      </c>
      <c r="E36" s="1">
        <v>90.36</v>
      </c>
      <c r="F36" s="3">
        <v>45719</v>
      </c>
      <c r="G36" s="1">
        <v>0.74299999999999999</v>
      </c>
      <c r="H36" s="1" t="str">
        <f>("10662671200379")</f>
        <v>10662671200379</v>
      </c>
      <c r="I36" s="1">
        <v>10</v>
      </c>
      <c r="J36" s="1">
        <v>320</v>
      </c>
    </row>
    <row r="37" spans="1:10" x14ac:dyDescent="0.3">
      <c r="A37" s="1" t="s">
        <v>7</v>
      </c>
      <c r="B37" s="1" t="str">
        <f>("662671200389")</f>
        <v>662671200389</v>
      </c>
      <c r="C37" s="1" t="s">
        <v>54</v>
      </c>
      <c r="D37" s="1" t="s">
        <v>55</v>
      </c>
      <c r="E37" s="1">
        <v>90.36</v>
      </c>
      <c r="F37" s="3">
        <v>45719</v>
      </c>
      <c r="G37" s="1">
        <v>0.78400000000000003</v>
      </c>
      <c r="H37" s="1" t="str">
        <f>("10662671200386")</f>
        <v>10662671200386</v>
      </c>
      <c r="I37" s="1">
        <v>15</v>
      </c>
      <c r="J37" s="1">
        <v>270</v>
      </c>
    </row>
    <row r="38" spans="1:10" x14ac:dyDescent="0.3">
      <c r="A38" s="1" t="s">
        <v>7</v>
      </c>
      <c r="B38" s="1" t="str">
        <f>("662671200396")</f>
        <v>662671200396</v>
      </c>
      <c r="C38" s="1">
        <v>202256</v>
      </c>
      <c r="D38" s="1" t="s">
        <v>56</v>
      </c>
      <c r="E38" s="1">
        <v>402.46</v>
      </c>
      <c r="F38" s="3">
        <v>45719</v>
      </c>
      <c r="G38" s="1">
        <v>2.105</v>
      </c>
      <c r="H38" s="1" t="str">
        <f>("10662671200393")</f>
        <v>10662671200393</v>
      </c>
      <c r="I38" s="1">
        <v>4</v>
      </c>
      <c r="J38" s="1">
        <v>72</v>
      </c>
    </row>
    <row r="39" spans="1:10" x14ac:dyDescent="0.3">
      <c r="A39" s="1" t="s">
        <v>7</v>
      </c>
      <c r="B39" s="1" t="str">
        <f>("662671203557")</f>
        <v>662671203557</v>
      </c>
      <c r="C39" s="1">
        <v>202258</v>
      </c>
      <c r="D39" s="1" t="s">
        <v>57</v>
      </c>
      <c r="E39" s="1">
        <v>912.61</v>
      </c>
      <c r="F39" s="3">
        <v>45719</v>
      </c>
      <c r="G39" s="1">
        <v>3.6339999999999999</v>
      </c>
      <c r="H39" s="1" t="str">
        <f>("10662671203554")</f>
        <v>10662671203554</v>
      </c>
      <c r="I39" s="1">
        <v>1</v>
      </c>
      <c r="J39" s="1">
        <v>32</v>
      </c>
    </row>
    <row r="40" spans="1:10" x14ac:dyDescent="0.3">
      <c r="A40" s="1" t="s">
        <v>7</v>
      </c>
      <c r="B40" s="1" t="str">
        <f>("662671200433")</f>
        <v>662671200433</v>
      </c>
      <c r="C40" s="1">
        <v>202301</v>
      </c>
      <c r="D40" s="1" t="s">
        <v>58</v>
      </c>
      <c r="E40" s="1">
        <v>21.66</v>
      </c>
      <c r="F40" s="3">
        <v>45719</v>
      </c>
      <c r="G40" s="1">
        <v>0.127</v>
      </c>
      <c r="H40" s="1" t="str">
        <f>("10662671200430")</f>
        <v>10662671200430</v>
      </c>
      <c r="I40" s="1">
        <v>70</v>
      </c>
      <c r="J40" s="1">
        <v>2240</v>
      </c>
    </row>
    <row r="41" spans="1:10" x14ac:dyDescent="0.3">
      <c r="A41" s="1" t="s">
        <v>7</v>
      </c>
      <c r="B41" s="1" t="str">
        <f>("662671200440")</f>
        <v>662671200440</v>
      </c>
      <c r="C41" s="1">
        <v>202302</v>
      </c>
      <c r="D41" s="1" t="s">
        <v>59</v>
      </c>
      <c r="E41" s="1">
        <v>39.770000000000003</v>
      </c>
      <c r="F41" s="3">
        <v>45719</v>
      </c>
      <c r="G41" s="1">
        <v>0.189</v>
      </c>
      <c r="H41" s="1" t="str">
        <f>("10662671200447")</f>
        <v>10662671200447</v>
      </c>
      <c r="I41" s="1">
        <v>40</v>
      </c>
      <c r="J41" s="1">
        <v>1280</v>
      </c>
    </row>
    <row r="42" spans="1:10" x14ac:dyDescent="0.3">
      <c r="A42" s="1" t="s">
        <v>7</v>
      </c>
      <c r="B42" s="1" t="str">
        <f>("662671200457")</f>
        <v>662671200457</v>
      </c>
      <c r="C42" s="1">
        <v>202303</v>
      </c>
      <c r="D42" s="1" t="s">
        <v>60</v>
      </c>
      <c r="E42" s="1">
        <v>83.37</v>
      </c>
      <c r="F42" s="3">
        <v>45719</v>
      </c>
      <c r="G42" s="1">
        <v>0.65500000000000003</v>
      </c>
      <c r="H42" s="1" t="str">
        <f>("10662671200454")</f>
        <v>10662671200454</v>
      </c>
      <c r="I42" s="1">
        <v>20</v>
      </c>
      <c r="J42" s="1">
        <v>360</v>
      </c>
    </row>
    <row r="43" spans="1:10" x14ac:dyDescent="0.3">
      <c r="A43" s="1" t="s">
        <v>7</v>
      </c>
      <c r="B43" s="1" t="str">
        <f>("662671200464")</f>
        <v>662671200464</v>
      </c>
      <c r="C43" s="1">
        <v>202304</v>
      </c>
      <c r="D43" s="1" t="s">
        <v>61</v>
      </c>
      <c r="E43" s="1">
        <v>132.78</v>
      </c>
      <c r="F43" s="3">
        <v>45719</v>
      </c>
      <c r="G43" s="1">
        <v>1.27</v>
      </c>
      <c r="H43" s="1" t="str">
        <f>("10662671200461")</f>
        <v>10662671200461</v>
      </c>
      <c r="I43" s="1">
        <v>12</v>
      </c>
      <c r="J43" s="1">
        <v>216</v>
      </c>
    </row>
    <row r="44" spans="1:10" x14ac:dyDescent="0.3">
      <c r="A44" s="1" t="s">
        <v>7</v>
      </c>
      <c r="B44" s="1" t="str">
        <f>("662671200471")</f>
        <v>662671200471</v>
      </c>
      <c r="C44" s="1">
        <v>202306</v>
      </c>
      <c r="D44" s="1" t="s">
        <v>62</v>
      </c>
      <c r="E44" s="1">
        <v>432.56</v>
      </c>
      <c r="F44" s="3">
        <v>45719</v>
      </c>
      <c r="G44" s="1">
        <v>2.9180000000000001</v>
      </c>
      <c r="H44" s="1" t="str">
        <f>("10662671200478")</f>
        <v>10662671200478</v>
      </c>
      <c r="I44" s="1">
        <v>2</v>
      </c>
      <c r="J44" s="1">
        <v>36</v>
      </c>
    </row>
    <row r="45" spans="1:10" x14ac:dyDescent="0.3">
      <c r="A45" s="1" t="s">
        <v>7</v>
      </c>
      <c r="B45" s="1" t="str">
        <f>("662671203564")</f>
        <v>662671203564</v>
      </c>
      <c r="C45" s="1">
        <v>202307</v>
      </c>
      <c r="D45" s="1" t="s">
        <v>63</v>
      </c>
      <c r="E45" s="1">
        <v>759.76</v>
      </c>
      <c r="F45" s="3">
        <v>45719</v>
      </c>
      <c r="G45" s="1">
        <v>3.82</v>
      </c>
      <c r="H45" s="1" t="str">
        <f>("00662671203564")</f>
        <v>00662671203564</v>
      </c>
      <c r="I45" s="1">
        <v>1</v>
      </c>
      <c r="J45" s="1">
        <v>18</v>
      </c>
    </row>
    <row r="46" spans="1:10" x14ac:dyDescent="0.3">
      <c r="A46" s="1" t="s">
        <v>7</v>
      </c>
      <c r="B46" s="1" t="str">
        <f>("662671203502")</f>
        <v>662671203502</v>
      </c>
      <c r="C46" s="1">
        <v>202308</v>
      </c>
      <c r="D46" s="1" t="s">
        <v>64</v>
      </c>
      <c r="E46" s="1">
        <v>829.25</v>
      </c>
      <c r="F46" s="3">
        <v>45719</v>
      </c>
      <c r="G46" s="1">
        <v>7.234</v>
      </c>
      <c r="H46" s="1" t="str">
        <f>("10662671203509")</f>
        <v>10662671203509</v>
      </c>
      <c r="I46" s="1">
        <v>1</v>
      </c>
      <c r="J46" s="1">
        <v>12</v>
      </c>
    </row>
    <row r="47" spans="1:10" x14ac:dyDescent="0.3">
      <c r="A47" s="1" t="s">
        <v>7</v>
      </c>
      <c r="B47" s="1" t="str">
        <f>("662671203649")</f>
        <v>662671203649</v>
      </c>
      <c r="C47" s="1">
        <v>202309</v>
      </c>
      <c r="D47" s="1" t="s">
        <v>65</v>
      </c>
      <c r="E47" s="1">
        <v>759.76</v>
      </c>
      <c r="F47" s="3">
        <v>45719</v>
      </c>
      <c r="G47" s="1">
        <v>4.83</v>
      </c>
      <c r="H47" s="1" t="str">
        <f>("00662671203649")</f>
        <v>00662671203649</v>
      </c>
      <c r="I47" s="1">
        <v>1</v>
      </c>
      <c r="J47" s="1">
        <v>18</v>
      </c>
    </row>
    <row r="48" spans="1:10" x14ac:dyDescent="0.3">
      <c r="A48" s="1" t="s">
        <v>7</v>
      </c>
      <c r="B48" s="1" t="str">
        <f>("662671200488")</f>
        <v>662671200488</v>
      </c>
      <c r="C48" s="1">
        <v>202324</v>
      </c>
      <c r="D48" s="1" t="s">
        <v>66</v>
      </c>
      <c r="E48" s="1">
        <v>38.99</v>
      </c>
      <c r="F48" s="3">
        <v>45719</v>
      </c>
      <c r="G48" s="1">
        <v>0.16300000000000001</v>
      </c>
      <c r="H48" s="1" t="str">
        <f>("10662671200485")</f>
        <v>10662671200485</v>
      </c>
      <c r="I48" s="1">
        <v>25</v>
      </c>
      <c r="J48" s="1">
        <v>1200</v>
      </c>
    </row>
    <row r="49" spans="1:10" x14ac:dyDescent="0.3">
      <c r="A49" s="1" t="s">
        <v>7</v>
      </c>
      <c r="B49" s="1" t="str">
        <f>("662671200495")</f>
        <v>662671200495</v>
      </c>
      <c r="C49" s="1">
        <v>202325</v>
      </c>
      <c r="D49" s="1" t="s">
        <v>67</v>
      </c>
      <c r="E49" s="1">
        <v>37.450000000000003</v>
      </c>
      <c r="F49" s="3">
        <v>45719</v>
      </c>
      <c r="G49" s="1">
        <v>0.17199999999999999</v>
      </c>
      <c r="H49" s="1" t="str">
        <f>("10662671200492")</f>
        <v>10662671200492</v>
      </c>
      <c r="I49" s="1">
        <v>25</v>
      </c>
      <c r="J49" s="1">
        <v>1800</v>
      </c>
    </row>
    <row r="50" spans="1:10" x14ac:dyDescent="0.3">
      <c r="A50" s="1" t="s">
        <v>7</v>
      </c>
      <c r="B50" s="1" t="str">
        <f>("662671200501")</f>
        <v>662671200501</v>
      </c>
      <c r="C50" s="1">
        <v>202326</v>
      </c>
      <c r="D50" s="1" t="s">
        <v>68</v>
      </c>
      <c r="E50" s="1">
        <v>65.510000000000005</v>
      </c>
      <c r="F50" s="3">
        <v>45719</v>
      </c>
      <c r="G50" s="1">
        <v>0.40899999999999997</v>
      </c>
      <c r="H50" s="1" t="str">
        <f>("10662671200508")</f>
        <v>10662671200508</v>
      </c>
      <c r="I50" s="1">
        <v>20</v>
      </c>
      <c r="J50" s="1">
        <v>640</v>
      </c>
    </row>
    <row r="51" spans="1:10" x14ac:dyDescent="0.3">
      <c r="A51" s="1" t="s">
        <v>7</v>
      </c>
      <c r="B51" s="1" t="str">
        <f>("662671200518")</f>
        <v>662671200518</v>
      </c>
      <c r="C51" s="1">
        <v>202327</v>
      </c>
      <c r="D51" s="1" t="s">
        <v>69</v>
      </c>
      <c r="E51" s="1">
        <v>120.45</v>
      </c>
      <c r="F51" s="3">
        <v>45719</v>
      </c>
      <c r="G51" s="1">
        <v>0.88900000000000001</v>
      </c>
      <c r="H51" s="1" t="str">
        <f>("10662671200515")</f>
        <v>10662671200515</v>
      </c>
      <c r="I51" s="1">
        <v>10</v>
      </c>
      <c r="J51" s="1">
        <v>240</v>
      </c>
    </row>
    <row r="52" spans="1:10" x14ac:dyDescent="0.3">
      <c r="A52" s="1" t="s">
        <v>7</v>
      </c>
      <c r="B52" s="1" t="str">
        <f>("662671200525")</f>
        <v>662671200525</v>
      </c>
      <c r="C52" s="1">
        <v>202328</v>
      </c>
      <c r="D52" s="1" t="s">
        <v>70</v>
      </c>
      <c r="E52" s="1">
        <v>122.68</v>
      </c>
      <c r="F52" s="3">
        <v>45719</v>
      </c>
      <c r="G52" s="1">
        <v>0.77900000000000003</v>
      </c>
      <c r="H52" s="1" t="str">
        <f>("30662671200526")</f>
        <v>30662671200526</v>
      </c>
      <c r="I52" s="1">
        <v>16</v>
      </c>
      <c r="J52" s="1">
        <v>288</v>
      </c>
    </row>
    <row r="53" spans="1:10" x14ac:dyDescent="0.3">
      <c r="A53" s="1" t="s">
        <v>7</v>
      </c>
      <c r="B53" s="1" t="str">
        <f>("662671200532")</f>
        <v>662671200532</v>
      </c>
      <c r="C53" s="1">
        <v>202331</v>
      </c>
      <c r="D53" s="1" t="s">
        <v>71</v>
      </c>
      <c r="E53" s="1">
        <v>59.02</v>
      </c>
      <c r="F53" s="3">
        <v>45719</v>
      </c>
      <c r="G53" s="1">
        <v>0.36799999999999999</v>
      </c>
      <c r="H53" s="1" t="str">
        <f>("10662671200539")</f>
        <v>10662671200539</v>
      </c>
      <c r="I53" s="1">
        <v>20</v>
      </c>
      <c r="J53" s="1">
        <v>640</v>
      </c>
    </row>
    <row r="54" spans="1:10" x14ac:dyDescent="0.3">
      <c r="A54" s="1" t="s">
        <v>7</v>
      </c>
      <c r="B54" s="1" t="str">
        <f>("662671203809")</f>
        <v>662671203809</v>
      </c>
      <c r="C54" s="1">
        <v>202343</v>
      </c>
      <c r="D54" s="1" t="s">
        <v>72</v>
      </c>
      <c r="E54" s="1">
        <v>611.53</v>
      </c>
      <c r="F54" s="3">
        <v>45719</v>
      </c>
      <c r="G54" s="1">
        <v>2.3380000000000001</v>
      </c>
      <c r="H54" s="1" t="str">
        <f>("10662671203806")</f>
        <v>10662671203806</v>
      </c>
      <c r="I54" s="1">
        <v>4</v>
      </c>
      <c r="J54" s="1">
        <v>72</v>
      </c>
    </row>
    <row r="55" spans="1:10" x14ac:dyDescent="0.3">
      <c r="A55" s="1" t="s">
        <v>7</v>
      </c>
      <c r="B55" s="1" t="str">
        <f>("662671200549")</f>
        <v>662671200549</v>
      </c>
      <c r="C55" s="1">
        <v>202344</v>
      </c>
      <c r="D55" s="1" t="s">
        <v>73</v>
      </c>
      <c r="E55" s="1">
        <v>402.46</v>
      </c>
      <c r="F55" s="3">
        <v>45719</v>
      </c>
      <c r="G55" s="1">
        <v>2.2090000000000001</v>
      </c>
      <c r="H55" s="1" t="str">
        <f>("10662671200546")</f>
        <v>10662671200546</v>
      </c>
      <c r="I55" s="1">
        <v>4</v>
      </c>
      <c r="J55" s="1">
        <v>72</v>
      </c>
    </row>
    <row r="56" spans="1:10" x14ac:dyDescent="0.3">
      <c r="A56" s="1" t="s">
        <v>7</v>
      </c>
      <c r="B56" s="1" t="str">
        <f>("662671200563")</f>
        <v>662671200563</v>
      </c>
      <c r="C56" s="1">
        <v>202352</v>
      </c>
      <c r="D56" s="1" t="s">
        <v>74</v>
      </c>
      <c r="E56" s="1">
        <v>83.96</v>
      </c>
      <c r="F56" s="3">
        <v>45719</v>
      </c>
      <c r="G56" s="1">
        <v>0.33300000000000002</v>
      </c>
      <c r="H56" s="1" t="str">
        <f>("10662671200560")</f>
        <v>10662671200560</v>
      </c>
      <c r="I56" s="1">
        <v>20</v>
      </c>
      <c r="J56" s="1">
        <v>640</v>
      </c>
    </row>
    <row r="57" spans="1:10" x14ac:dyDescent="0.3">
      <c r="A57" s="1" t="s">
        <v>7</v>
      </c>
      <c r="B57" s="1" t="str">
        <f>("662671200570")</f>
        <v>662671200570</v>
      </c>
      <c r="C57" s="1">
        <v>202353</v>
      </c>
      <c r="D57" s="1" t="s">
        <v>75</v>
      </c>
      <c r="E57" s="1">
        <v>156.47999999999999</v>
      </c>
      <c r="F57" s="3">
        <v>45719</v>
      </c>
      <c r="G57" s="1">
        <v>0.95</v>
      </c>
      <c r="H57" s="1" t="str">
        <f>("10662671200577")</f>
        <v>10662671200577</v>
      </c>
      <c r="I57" s="1">
        <v>5</v>
      </c>
      <c r="J57" s="1">
        <v>160</v>
      </c>
    </row>
    <row r="58" spans="1:10" x14ac:dyDescent="0.3">
      <c r="A58" s="1" t="s">
        <v>7</v>
      </c>
      <c r="B58" s="1" t="str">
        <f>("662671200594")</f>
        <v>662671200594</v>
      </c>
      <c r="C58" s="1">
        <v>202374</v>
      </c>
      <c r="D58" s="1" t="s">
        <v>76</v>
      </c>
      <c r="E58" s="1">
        <v>71.510000000000005</v>
      </c>
      <c r="F58" s="3">
        <v>45719</v>
      </c>
      <c r="G58" s="1">
        <v>0.26300000000000001</v>
      </c>
      <c r="H58" s="1" t="str">
        <f>("10662671200591")</f>
        <v>10662671200591</v>
      </c>
      <c r="I58" s="1">
        <v>10</v>
      </c>
      <c r="J58" s="1">
        <v>720</v>
      </c>
    </row>
    <row r="59" spans="1:10" x14ac:dyDescent="0.3">
      <c r="A59" s="1" t="s">
        <v>7</v>
      </c>
      <c r="B59" s="1" t="str">
        <f>("662671203236")</f>
        <v>662671203236</v>
      </c>
      <c r="C59" s="1">
        <v>202377</v>
      </c>
      <c r="D59" s="1" t="s">
        <v>77</v>
      </c>
      <c r="E59" s="1">
        <v>132.19</v>
      </c>
      <c r="F59" s="3">
        <v>45719</v>
      </c>
      <c r="G59" s="1">
        <v>0.63700000000000001</v>
      </c>
      <c r="H59" s="1" t="str">
        <f>("10662671203233")</f>
        <v>10662671203233</v>
      </c>
      <c r="I59" s="1">
        <v>15</v>
      </c>
      <c r="J59" s="1">
        <v>360</v>
      </c>
    </row>
    <row r="60" spans="1:10" x14ac:dyDescent="0.3">
      <c r="A60" s="1" t="s">
        <v>7</v>
      </c>
      <c r="B60" s="1" t="str">
        <f>("662671200624")</f>
        <v>662671200624</v>
      </c>
      <c r="C60" s="1">
        <v>202381</v>
      </c>
      <c r="D60" s="1" t="s">
        <v>78</v>
      </c>
      <c r="E60" s="1">
        <v>389.28</v>
      </c>
      <c r="F60" s="3">
        <v>45719</v>
      </c>
      <c r="G60" s="1">
        <v>1.4930000000000001</v>
      </c>
      <c r="H60" s="1" t="str">
        <f>("10662671200621")</f>
        <v>10662671200621</v>
      </c>
      <c r="I60" s="1">
        <v>8</v>
      </c>
      <c r="J60" s="1">
        <v>144</v>
      </c>
    </row>
    <row r="61" spans="1:10" x14ac:dyDescent="0.3">
      <c r="A61" s="1" t="s">
        <v>7</v>
      </c>
      <c r="B61" s="1" t="str">
        <f>("662671200679")</f>
        <v>662671200679</v>
      </c>
      <c r="C61" s="1">
        <v>202406</v>
      </c>
      <c r="D61" s="1" t="s">
        <v>79</v>
      </c>
      <c r="E61" s="1">
        <v>339.48</v>
      </c>
      <c r="F61" s="3">
        <v>45719</v>
      </c>
      <c r="G61" s="1">
        <v>1.522</v>
      </c>
      <c r="H61" s="1" t="str">
        <f>("10662671200676")</f>
        <v>10662671200676</v>
      </c>
      <c r="I61" s="1">
        <v>8</v>
      </c>
      <c r="J61" s="1">
        <v>144</v>
      </c>
    </row>
    <row r="62" spans="1:10" x14ac:dyDescent="0.3">
      <c r="A62" s="1" t="s">
        <v>7</v>
      </c>
      <c r="B62" s="1" t="str">
        <f>("662671200686")</f>
        <v>662671200686</v>
      </c>
      <c r="C62" s="1">
        <v>202421</v>
      </c>
      <c r="D62" s="1" t="s">
        <v>80</v>
      </c>
      <c r="E62" s="1">
        <v>10.25</v>
      </c>
      <c r="F62" s="3">
        <v>45719</v>
      </c>
      <c r="G62" s="1">
        <v>5.5E-2</v>
      </c>
      <c r="H62" s="1" t="str">
        <f>("10662671200683")</f>
        <v>10662671200683</v>
      </c>
      <c r="I62" s="1">
        <v>125</v>
      </c>
      <c r="J62" s="1">
        <v>6000</v>
      </c>
    </row>
    <row r="63" spans="1:10" x14ac:dyDescent="0.3">
      <c r="A63" s="1" t="s">
        <v>7</v>
      </c>
      <c r="B63" s="1" t="str">
        <f>("662671200693")</f>
        <v>662671200693</v>
      </c>
      <c r="C63" s="1">
        <v>202422</v>
      </c>
      <c r="D63" s="1" t="s">
        <v>81</v>
      </c>
      <c r="E63" s="1">
        <v>19.489999999999998</v>
      </c>
      <c r="F63" s="3">
        <v>45719</v>
      </c>
      <c r="G63" s="1">
        <v>7.5999999999999998E-2</v>
      </c>
      <c r="H63" s="1" t="str">
        <f>("10662671200690")</f>
        <v>10662671200690</v>
      </c>
      <c r="I63" s="1">
        <v>50</v>
      </c>
      <c r="J63" s="1">
        <v>3600</v>
      </c>
    </row>
    <row r="64" spans="1:10" x14ac:dyDescent="0.3">
      <c r="A64" s="1" t="s">
        <v>7</v>
      </c>
      <c r="B64" s="1" t="str">
        <f>("662671200709")</f>
        <v>662671200709</v>
      </c>
      <c r="C64" s="1">
        <v>202423</v>
      </c>
      <c r="D64" s="1" t="s">
        <v>82</v>
      </c>
      <c r="E64" s="1">
        <v>47.95</v>
      </c>
      <c r="F64" s="3">
        <v>45719</v>
      </c>
      <c r="G64" s="1">
        <v>0.26400000000000001</v>
      </c>
      <c r="H64" s="1" t="str">
        <f>("10662671200706")</f>
        <v>10662671200706</v>
      </c>
      <c r="I64" s="1">
        <v>25</v>
      </c>
      <c r="J64" s="1">
        <v>800</v>
      </c>
    </row>
    <row r="65" spans="1:10" x14ac:dyDescent="0.3">
      <c r="A65" s="1" t="s">
        <v>7</v>
      </c>
      <c r="B65" s="1" t="str">
        <f>("662671200716")</f>
        <v>662671200716</v>
      </c>
      <c r="C65" s="1">
        <v>202424</v>
      </c>
      <c r="D65" s="1" t="s">
        <v>83</v>
      </c>
      <c r="E65" s="1">
        <v>79.42</v>
      </c>
      <c r="F65" s="3">
        <v>45719</v>
      </c>
      <c r="G65" s="1">
        <v>0.46500000000000002</v>
      </c>
      <c r="H65" s="1" t="str">
        <f>("10662671200713")</f>
        <v>10662671200713</v>
      </c>
      <c r="I65" s="1">
        <v>25</v>
      </c>
      <c r="J65" s="1">
        <v>450</v>
      </c>
    </row>
    <row r="66" spans="1:10" x14ac:dyDescent="0.3">
      <c r="A66" s="1" t="s">
        <v>7</v>
      </c>
      <c r="B66" s="1" t="str">
        <f>("662671200723")</f>
        <v>662671200723</v>
      </c>
      <c r="C66" s="1">
        <v>202451</v>
      </c>
      <c r="D66" s="1" t="s">
        <v>84</v>
      </c>
      <c r="E66" s="1">
        <v>12.97</v>
      </c>
      <c r="F66" s="3">
        <v>45719</v>
      </c>
      <c r="G66" s="1">
        <v>7.2999999999999995E-2</v>
      </c>
      <c r="H66" s="1" t="str">
        <f>("10662671200720")</f>
        <v>10662671200720</v>
      </c>
      <c r="I66" s="1">
        <v>125</v>
      </c>
      <c r="J66" s="1">
        <v>4000</v>
      </c>
    </row>
    <row r="67" spans="1:10" x14ac:dyDescent="0.3">
      <c r="A67" s="1" t="s">
        <v>7</v>
      </c>
      <c r="B67" s="1" t="str">
        <f>("662671200730")</f>
        <v>662671200730</v>
      </c>
      <c r="C67" s="1">
        <v>202452</v>
      </c>
      <c r="D67" s="1" t="s">
        <v>85</v>
      </c>
      <c r="E67" s="1">
        <v>26.47</v>
      </c>
      <c r="F67" s="3">
        <v>45719</v>
      </c>
      <c r="G67" s="1">
        <v>0.125</v>
      </c>
      <c r="H67" s="1" t="str">
        <f>("10662671200737")</f>
        <v>10662671200737</v>
      </c>
      <c r="I67" s="1">
        <v>50</v>
      </c>
      <c r="J67" s="1">
        <v>2400</v>
      </c>
    </row>
    <row r="68" spans="1:10" x14ac:dyDescent="0.3">
      <c r="A68" s="1" t="s">
        <v>7</v>
      </c>
      <c r="B68" s="1" t="str">
        <f>("662671200747")</f>
        <v>662671200747</v>
      </c>
      <c r="C68" s="1">
        <v>202453</v>
      </c>
      <c r="D68" s="1" t="s">
        <v>86</v>
      </c>
      <c r="E68" s="1">
        <v>59.02</v>
      </c>
      <c r="F68" s="3">
        <v>45719</v>
      </c>
      <c r="G68" s="1">
        <v>0.377</v>
      </c>
      <c r="H68" s="1" t="str">
        <f>("10662671200744")</f>
        <v>10662671200744</v>
      </c>
      <c r="I68" s="1">
        <v>20</v>
      </c>
      <c r="J68" s="1">
        <v>640</v>
      </c>
    </row>
    <row r="69" spans="1:10" x14ac:dyDescent="0.3">
      <c r="A69" s="1" t="s">
        <v>7</v>
      </c>
      <c r="B69" s="1" t="str">
        <f>("662671200754")</f>
        <v>662671200754</v>
      </c>
      <c r="C69" s="1" t="s">
        <v>87</v>
      </c>
      <c r="D69" s="1" t="s">
        <v>88</v>
      </c>
      <c r="E69" s="1">
        <v>59.02</v>
      </c>
      <c r="F69" s="3">
        <v>45719</v>
      </c>
      <c r="G69" s="1">
        <v>0.45900000000000002</v>
      </c>
      <c r="H69" s="1" t="str">
        <f>("10662671200751")</f>
        <v>10662671200751</v>
      </c>
      <c r="I69" s="1">
        <v>15</v>
      </c>
      <c r="J69" s="1">
        <v>480</v>
      </c>
    </row>
    <row r="70" spans="1:10" x14ac:dyDescent="0.3">
      <c r="A70" s="1" t="s">
        <v>7</v>
      </c>
      <c r="B70" s="1" t="str">
        <f>("662671200761")</f>
        <v>662671200761</v>
      </c>
      <c r="C70" s="1">
        <v>202454</v>
      </c>
      <c r="D70" s="1" t="s">
        <v>89</v>
      </c>
      <c r="E70" s="1">
        <v>90.36</v>
      </c>
      <c r="F70" s="3">
        <v>45719</v>
      </c>
      <c r="G70" s="1">
        <v>0.71799999999999997</v>
      </c>
      <c r="H70" s="1" t="str">
        <f>("10662671200768")</f>
        <v>10662671200768</v>
      </c>
      <c r="I70" s="1">
        <v>15</v>
      </c>
      <c r="J70" s="1">
        <v>270</v>
      </c>
    </row>
    <row r="71" spans="1:10" x14ac:dyDescent="0.3">
      <c r="A71" s="1" t="s">
        <v>7</v>
      </c>
      <c r="B71" s="1" t="str">
        <f>("662671202277")</f>
        <v>662671202277</v>
      </c>
      <c r="C71" s="1">
        <v>202456</v>
      </c>
      <c r="D71" s="1" t="s">
        <v>90</v>
      </c>
      <c r="E71" s="1">
        <v>410.41</v>
      </c>
      <c r="F71" s="3">
        <v>45719</v>
      </c>
      <c r="G71" s="1">
        <v>2.2570000000000001</v>
      </c>
      <c r="H71" s="1" t="str">
        <f>("10662671202274")</f>
        <v>10662671202274</v>
      </c>
      <c r="I71" s="1">
        <v>4</v>
      </c>
      <c r="J71" s="1">
        <v>72</v>
      </c>
    </row>
    <row r="72" spans="1:10" x14ac:dyDescent="0.3">
      <c r="A72" s="1" t="s">
        <v>7</v>
      </c>
      <c r="B72" s="1" t="str">
        <f>("662671200822")</f>
        <v>662671200822</v>
      </c>
      <c r="C72" s="1">
        <v>202506</v>
      </c>
      <c r="D72" s="1" t="s">
        <v>91</v>
      </c>
      <c r="E72" s="1">
        <v>339.48</v>
      </c>
      <c r="F72" s="3">
        <v>45719</v>
      </c>
      <c r="G72" s="1">
        <v>1.583</v>
      </c>
      <c r="H72" s="1" t="str">
        <f>("10662671200829")</f>
        <v>10662671200829</v>
      </c>
      <c r="I72" s="1">
        <v>8</v>
      </c>
      <c r="J72" s="1">
        <v>144</v>
      </c>
    </row>
    <row r="73" spans="1:10" x14ac:dyDescent="0.3">
      <c r="A73" s="1" t="s">
        <v>7</v>
      </c>
      <c r="B73" s="1" t="str">
        <f>("662671200839")</f>
        <v>662671200839</v>
      </c>
      <c r="C73" s="1">
        <v>202521</v>
      </c>
      <c r="D73" s="1" t="s">
        <v>92</v>
      </c>
      <c r="E73" s="1">
        <v>10.25</v>
      </c>
      <c r="F73" s="3">
        <v>45719</v>
      </c>
      <c r="G73" s="1">
        <v>6.0999999999999999E-2</v>
      </c>
      <c r="H73" s="1" t="str">
        <f>("10662671200836")</f>
        <v>10662671200836</v>
      </c>
      <c r="I73" s="1">
        <v>125</v>
      </c>
      <c r="J73" s="1">
        <v>6000</v>
      </c>
    </row>
    <row r="74" spans="1:10" x14ac:dyDescent="0.3">
      <c r="A74" s="1" t="s">
        <v>7</v>
      </c>
      <c r="B74" s="1" t="str">
        <f>("662671200846")</f>
        <v>662671200846</v>
      </c>
      <c r="C74" s="1">
        <v>202522</v>
      </c>
      <c r="D74" s="1" t="s">
        <v>93</v>
      </c>
      <c r="E74" s="1">
        <v>16.16</v>
      </c>
      <c r="F74" s="3">
        <v>45719</v>
      </c>
      <c r="G74" s="1">
        <v>7.6999999999999999E-2</v>
      </c>
      <c r="H74" s="1" t="str">
        <f>("10662671200843")</f>
        <v>10662671200843</v>
      </c>
      <c r="I74" s="1">
        <v>50</v>
      </c>
      <c r="J74" s="1">
        <v>3600</v>
      </c>
    </row>
    <row r="75" spans="1:10" x14ac:dyDescent="0.3">
      <c r="A75" s="1" t="s">
        <v>7</v>
      </c>
      <c r="B75" s="1" t="str">
        <f>("662671200853")</f>
        <v>662671200853</v>
      </c>
      <c r="C75" s="1">
        <v>202523</v>
      </c>
      <c r="D75" s="1" t="s">
        <v>94</v>
      </c>
      <c r="E75" s="1">
        <v>45.23</v>
      </c>
      <c r="F75" s="3">
        <v>45719</v>
      </c>
      <c r="G75" s="1">
        <v>0.28000000000000003</v>
      </c>
      <c r="H75" s="1" t="str">
        <f>("10662671200850")</f>
        <v>10662671200850</v>
      </c>
      <c r="I75" s="1">
        <v>25</v>
      </c>
      <c r="J75" s="1">
        <v>800</v>
      </c>
    </row>
    <row r="76" spans="1:10" x14ac:dyDescent="0.3">
      <c r="A76" s="1" t="s">
        <v>7</v>
      </c>
      <c r="B76" s="1" t="str">
        <f>("662671200860")</f>
        <v>662671200860</v>
      </c>
      <c r="C76" s="1">
        <v>202524</v>
      </c>
      <c r="D76" s="1" t="s">
        <v>95</v>
      </c>
      <c r="E76" s="1">
        <v>79.42</v>
      </c>
      <c r="F76" s="3">
        <v>45719</v>
      </c>
      <c r="G76" s="1">
        <v>0.51100000000000001</v>
      </c>
      <c r="H76" s="1" t="str">
        <f>("10662671200867")</f>
        <v>10662671200867</v>
      </c>
      <c r="I76" s="1">
        <v>25</v>
      </c>
      <c r="J76" s="1">
        <v>450</v>
      </c>
    </row>
    <row r="77" spans="1:10" x14ac:dyDescent="0.3">
      <c r="A77" s="1" t="s">
        <v>7</v>
      </c>
      <c r="B77" s="1" t="str">
        <f>("662671203489")</f>
        <v>662671203489</v>
      </c>
      <c r="C77" s="1">
        <v>202528</v>
      </c>
      <c r="D77" s="1" t="s">
        <v>96</v>
      </c>
      <c r="E77" s="1">
        <v>689.57</v>
      </c>
      <c r="F77" s="3">
        <v>45719</v>
      </c>
      <c r="G77" s="1">
        <v>2.9060000000000001</v>
      </c>
      <c r="H77" s="1" t="str">
        <f>("30662671203480")</f>
        <v>30662671203480</v>
      </c>
      <c r="I77" s="1">
        <v>1</v>
      </c>
      <c r="J77" s="1">
        <v>48</v>
      </c>
    </row>
    <row r="78" spans="1:10" x14ac:dyDescent="0.3">
      <c r="A78" s="1" t="s">
        <v>7</v>
      </c>
      <c r="B78" s="1" t="str">
        <f>("662671200877")</f>
        <v>662671200877</v>
      </c>
      <c r="C78" s="1">
        <v>202551</v>
      </c>
      <c r="D78" s="1" t="s">
        <v>97</v>
      </c>
      <c r="E78" s="1">
        <v>15.15</v>
      </c>
      <c r="F78" s="3">
        <v>45719</v>
      </c>
      <c r="G78" s="1">
        <v>6.3E-2</v>
      </c>
      <c r="H78" s="1" t="str">
        <f>("10662671200874")</f>
        <v>10662671200874</v>
      </c>
      <c r="I78" s="1">
        <v>75</v>
      </c>
      <c r="J78" s="1">
        <v>5400</v>
      </c>
    </row>
    <row r="79" spans="1:10" x14ac:dyDescent="0.3">
      <c r="A79" s="1" t="s">
        <v>7</v>
      </c>
      <c r="B79" s="1" t="str">
        <f>("662671200884")</f>
        <v>662671200884</v>
      </c>
      <c r="C79" s="1">
        <v>202552</v>
      </c>
      <c r="D79" s="1" t="s">
        <v>98</v>
      </c>
      <c r="E79" s="1">
        <v>27.61</v>
      </c>
      <c r="F79" s="3">
        <v>45719</v>
      </c>
      <c r="G79" s="1">
        <v>8.5000000000000006E-2</v>
      </c>
      <c r="H79" s="1" t="str">
        <f>("10662671200881")</f>
        <v>10662671200881</v>
      </c>
      <c r="I79" s="1">
        <v>50</v>
      </c>
      <c r="J79" s="1">
        <v>2400</v>
      </c>
    </row>
    <row r="80" spans="1:10" x14ac:dyDescent="0.3">
      <c r="A80" s="1" t="s">
        <v>7</v>
      </c>
      <c r="B80" s="1" t="str">
        <f>("662671200891")</f>
        <v>662671200891</v>
      </c>
      <c r="C80" s="1">
        <v>202553</v>
      </c>
      <c r="D80" s="1" t="s">
        <v>99</v>
      </c>
      <c r="E80" s="1">
        <v>62.56</v>
      </c>
      <c r="F80" s="3">
        <v>45719</v>
      </c>
      <c r="G80" s="1">
        <v>0.27600000000000002</v>
      </c>
      <c r="H80" s="1" t="str">
        <f>("10662671200898")</f>
        <v>10662671200898</v>
      </c>
      <c r="I80" s="1">
        <v>20</v>
      </c>
      <c r="J80" s="1">
        <v>960</v>
      </c>
    </row>
    <row r="81" spans="1:10" x14ac:dyDescent="0.3">
      <c r="A81" s="1" t="s">
        <v>7</v>
      </c>
      <c r="B81" s="1" t="str">
        <f>("662671200907")</f>
        <v>662671200907</v>
      </c>
      <c r="C81" s="1">
        <v>202554</v>
      </c>
      <c r="D81" s="1" t="s">
        <v>100</v>
      </c>
      <c r="E81" s="1">
        <v>107.38</v>
      </c>
      <c r="F81" s="3">
        <v>45719</v>
      </c>
      <c r="G81" s="1">
        <v>0.48499999999999999</v>
      </c>
      <c r="H81" s="1" t="str">
        <f>("10662671200904")</f>
        <v>10662671200904</v>
      </c>
      <c r="I81" s="1">
        <v>15</v>
      </c>
      <c r="J81" s="1">
        <v>480</v>
      </c>
    </row>
    <row r="82" spans="1:10" x14ac:dyDescent="0.3">
      <c r="A82" s="1" t="s">
        <v>7</v>
      </c>
      <c r="B82" s="1" t="str">
        <f>("662671200914")</f>
        <v>662671200914</v>
      </c>
      <c r="C82" s="1">
        <v>202556</v>
      </c>
      <c r="D82" s="1" t="s">
        <v>101</v>
      </c>
      <c r="E82" s="1">
        <v>588.59</v>
      </c>
      <c r="F82" s="3">
        <v>45719</v>
      </c>
      <c r="G82" s="1">
        <v>1.377</v>
      </c>
      <c r="H82" s="1" t="str">
        <f>("10662671200911")</f>
        <v>10662671200911</v>
      </c>
      <c r="I82" s="1">
        <v>8</v>
      </c>
      <c r="J82" s="1">
        <v>144</v>
      </c>
    </row>
    <row r="83" spans="1:10" x14ac:dyDescent="0.3">
      <c r="A83" s="1" t="s">
        <v>7</v>
      </c>
      <c r="B83" s="1" t="str">
        <f>("662671200921")</f>
        <v>662671200921</v>
      </c>
      <c r="C83" s="1">
        <v>202601</v>
      </c>
      <c r="D83" s="1" t="s">
        <v>102</v>
      </c>
      <c r="E83" s="1">
        <v>23.94</v>
      </c>
      <c r="F83" s="3">
        <v>45719</v>
      </c>
      <c r="G83" s="1">
        <v>7.0999999999999994E-2</v>
      </c>
      <c r="H83" s="1" t="str">
        <f>("10662671200928")</f>
        <v>10662671200928</v>
      </c>
      <c r="I83" s="1">
        <v>50</v>
      </c>
      <c r="J83" s="1">
        <v>3600</v>
      </c>
    </row>
    <row r="84" spans="1:10" x14ac:dyDescent="0.3">
      <c r="A84" s="1" t="s">
        <v>7</v>
      </c>
      <c r="B84" s="1" t="str">
        <f>("662671200938")</f>
        <v>662671200938</v>
      </c>
      <c r="C84" s="1">
        <v>202602</v>
      </c>
      <c r="D84" s="1" t="s">
        <v>103</v>
      </c>
      <c r="E84" s="1">
        <v>30.86</v>
      </c>
      <c r="F84" s="3">
        <v>45719</v>
      </c>
      <c r="G84" s="1">
        <v>0.109</v>
      </c>
      <c r="H84" s="1" t="str">
        <f>("10662671200935")</f>
        <v>10662671200935</v>
      </c>
      <c r="I84" s="1">
        <v>30</v>
      </c>
      <c r="J84" s="1">
        <v>2160</v>
      </c>
    </row>
    <row r="85" spans="1:10" x14ac:dyDescent="0.3">
      <c r="A85" s="1" t="s">
        <v>7</v>
      </c>
      <c r="B85" s="1" t="str">
        <f>("662671200945")</f>
        <v>662671200945</v>
      </c>
      <c r="C85" s="1">
        <v>202603</v>
      </c>
      <c r="D85" s="1" t="s">
        <v>104</v>
      </c>
      <c r="E85" s="1">
        <v>71.209999999999994</v>
      </c>
      <c r="F85" s="3">
        <v>45719</v>
      </c>
      <c r="G85" s="1">
        <v>0.34799999999999998</v>
      </c>
      <c r="H85" s="1" t="str">
        <f>("10662671200942")</f>
        <v>10662671200942</v>
      </c>
      <c r="I85" s="1">
        <v>20</v>
      </c>
      <c r="J85" s="1">
        <v>640</v>
      </c>
    </row>
    <row r="86" spans="1:10" x14ac:dyDescent="0.3">
      <c r="A86" s="1" t="s">
        <v>7</v>
      </c>
      <c r="B86" s="1" t="str">
        <f>("662671200952")</f>
        <v>662671200952</v>
      </c>
      <c r="C86" s="1">
        <v>202604</v>
      </c>
      <c r="D86" s="1" t="s">
        <v>105</v>
      </c>
      <c r="E86" s="1">
        <v>133.71</v>
      </c>
      <c r="F86" s="3">
        <v>45719</v>
      </c>
      <c r="G86" s="1">
        <v>0.63500000000000001</v>
      </c>
      <c r="H86" s="1" t="str">
        <f>("10662671200959")</f>
        <v>10662671200959</v>
      </c>
      <c r="I86" s="1">
        <v>10</v>
      </c>
      <c r="J86" s="1">
        <v>320</v>
      </c>
    </row>
    <row r="87" spans="1:10" x14ac:dyDescent="0.3">
      <c r="A87" s="1" t="s">
        <v>7</v>
      </c>
      <c r="B87" s="1" t="str">
        <f>("662671200969")</f>
        <v>662671200969</v>
      </c>
      <c r="C87" s="1">
        <v>202747</v>
      </c>
      <c r="D87" s="1" t="s">
        <v>106</v>
      </c>
      <c r="E87" s="1">
        <v>18.98</v>
      </c>
      <c r="F87" s="3">
        <v>45719</v>
      </c>
      <c r="G87" s="1">
        <v>4.5999999999999999E-2</v>
      </c>
      <c r="H87" s="1" t="str">
        <f>("10662671200966")</f>
        <v>10662671200966</v>
      </c>
      <c r="I87" s="1">
        <v>120</v>
      </c>
      <c r="J87" s="1">
        <v>17280</v>
      </c>
    </row>
    <row r="88" spans="1:10" x14ac:dyDescent="0.3">
      <c r="A88" s="1" t="s">
        <v>7</v>
      </c>
      <c r="B88" s="1" t="str">
        <f>("662671200976")</f>
        <v>662671200976</v>
      </c>
      <c r="C88" s="1">
        <v>202749</v>
      </c>
      <c r="D88" s="1" t="s">
        <v>107</v>
      </c>
      <c r="E88" s="1">
        <v>24.89</v>
      </c>
      <c r="F88" s="3">
        <v>45719</v>
      </c>
      <c r="G88" s="1">
        <v>3.7999999999999999E-2</v>
      </c>
      <c r="H88" s="1" t="str">
        <f>("10662671200973")</f>
        <v>10662671200973</v>
      </c>
      <c r="I88" s="1">
        <v>100</v>
      </c>
      <c r="J88" s="1">
        <v>14400</v>
      </c>
    </row>
    <row r="89" spans="1:10" x14ac:dyDescent="0.3">
      <c r="A89" s="1" t="s">
        <v>7</v>
      </c>
      <c r="B89" s="1" t="str">
        <f>("662671200990")</f>
        <v>662671200990</v>
      </c>
      <c r="C89" s="1">
        <v>202752</v>
      </c>
      <c r="D89" s="1" t="s">
        <v>108</v>
      </c>
      <c r="E89" s="1">
        <v>8.7200000000000006</v>
      </c>
      <c r="F89" s="3">
        <v>45719</v>
      </c>
      <c r="G89" s="1">
        <v>3.9E-2</v>
      </c>
      <c r="H89" s="1" t="str">
        <f>("10662671200997")</f>
        <v>10662671200997</v>
      </c>
      <c r="I89" s="1">
        <v>150</v>
      </c>
      <c r="J89" s="1">
        <v>10800</v>
      </c>
    </row>
    <row r="90" spans="1:10" x14ac:dyDescent="0.3">
      <c r="A90" s="1" t="s">
        <v>7</v>
      </c>
      <c r="B90" s="1" t="str">
        <f>("662671201003")</f>
        <v>662671201003</v>
      </c>
      <c r="C90" s="1">
        <v>202754</v>
      </c>
      <c r="D90" s="1" t="s">
        <v>109</v>
      </c>
      <c r="E90" s="1">
        <v>28.16</v>
      </c>
      <c r="F90" s="3">
        <v>45719</v>
      </c>
      <c r="G90" s="1">
        <v>0.14000000000000001</v>
      </c>
      <c r="H90" s="1" t="str">
        <f>("10662671201000")</f>
        <v>10662671201000</v>
      </c>
      <c r="I90" s="1">
        <v>60</v>
      </c>
      <c r="J90" s="1">
        <v>2880</v>
      </c>
    </row>
    <row r="91" spans="1:10" x14ac:dyDescent="0.3">
      <c r="A91" s="1" t="s">
        <v>7</v>
      </c>
      <c r="B91" s="1" t="str">
        <f>("662671201010")</f>
        <v>662671201010</v>
      </c>
      <c r="C91" s="1">
        <v>202756</v>
      </c>
      <c r="D91" s="1" t="s">
        <v>110</v>
      </c>
      <c r="E91" s="1">
        <v>57.46</v>
      </c>
      <c r="F91" s="3">
        <v>45719</v>
      </c>
      <c r="G91" s="1">
        <v>0.17799999999999999</v>
      </c>
      <c r="H91" s="1" t="str">
        <f>("10662671201017")</f>
        <v>10662671201017</v>
      </c>
      <c r="I91" s="1">
        <v>35</v>
      </c>
      <c r="J91" s="1">
        <v>1680</v>
      </c>
    </row>
    <row r="92" spans="1:10" x14ac:dyDescent="0.3">
      <c r="A92" s="1" t="s">
        <v>7</v>
      </c>
      <c r="B92" s="1" t="str">
        <f>("662671201027")</f>
        <v>662671201027</v>
      </c>
      <c r="C92" s="1">
        <v>202758</v>
      </c>
      <c r="D92" s="1" t="s">
        <v>111</v>
      </c>
      <c r="E92" s="1">
        <v>54.25</v>
      </c>
      <c r="F92" s="3">
        <v>45719</v>
      </c>
      <c r="G92" s="1">
        <v>0.25700000000000001</v>
      </c>
      <c r="H92" s="1" t="str">
        <f>("10662671201024")</f>
        <v>10662671201024</v>
      </c>
      <c r="I92" s="1">
        <v>20</v>
      </c>
      <c r="J92" s="1">
        <v>1440</v>
      </c>
    </row>
    <row r="93" spans="1:10" x14ac:dyDescent="0.3">
      <c r="A93" s="1" t="s">
        <v>7</v>
      </c>
      <c r="B93" s="1" t="str">
        <f>("662671201041")</f>
        <v>662671201041</v>
      </c>
      <c r="C93" s="1">
        <v>202762</v>
      </c>
      <c r="D93" s="1" t="s">
        <v>112</v>
      </c>
      <c r="E93" s="1">
        <v>38.67</v>
      </c>
      <c r="F93" s="3">
        <v>45719</v>
      </c>
      <c r="G93" s="1">
        <v>0.13500000000000001</v>
      </c>
      <c r="H93" s="1" t="str">
        <f>("10662671201048")</f>
        <v>10662671201048</v>
      </c>
      <c r="I93" s="1">
        <v>35</v>
      </c>
      <c r="J93" s="1">
        <v>2520</v>
      </c>
    </row>
    <row r="94" spans="1:10" x14ac:dyDescent="0.3">
      <c r="A94" s="1" t="s">
        <v>7</v>
      </c>
      <c r="B94" s="1" t="str">
        <f>("662671201058")</f>
        <v>662671201058</v>
      </c>
      <c r="C94" s="1">
        <v>202767</v>
      </c>
      <c r="D94" s="1" t="s">
        <v>113</v>
      </c>
      <c r="E94" s="1">
        <v>261.61</v>
      </c>
      <c r="F94" s="3">
        <v>45719</v>
      </c>
      <c r="G94" s="1">
        <v>0.73599999999999999</v>
      </c>
      <c r="H94" s="1" t="str">
        <f>("10662671201055")</f>
        <v>10662671201055</v>
      </c>
      <c r="I94" s="1">
        <v>12</v>
      </c>
      <c r="J94" s="1">
        <v>384</v>
      </c>
    </row>
    <row r="95" spans="1:10" x14ac:dyDescent="0.3">
      <c r="A95" s="1" t="s">
        <v>7</v>
      </c>
      <c r="B95" s="1" t="str">
        <f>("662671203656")</f>
        <v>662671203656</v>
      </c>
      <c r="C95" s="1">
        <v>202769</v>
      </c>
      <c r="D95" s="1" t="s">
        <v>114</v>
      </c>
      <c r="E95" s="1">
        <v>410.66</v>
      </c>
      <c r="F95" s="3">
        <v>45719</v>
      </c>
      <c r="G95" s="1">
        <v>1.6830000000000001</v>
      </c>
      <c r="H95" s="1" t="str">
        <f>("10662671203653")</f>
        <v>10662671203653</v>
      </c>
      <c r="I95" s="1">
        <v>1</v>
      </c>
      <c r="J95" s="1">
        <v>48</v>
      </c>
    </row>
    <row r="96" spans="1:10" x14ac:dyDescent="0.3">
      <c r="A96" s="1" t="s">
        <v>7</v>
      </c>
      <c r="B96" s="1" t="str">
        <f>("662671203663")</f>
        <v>662671203663</v>
      </c>
      <c r="C96" s="1">
        <v>202770</v>
      </c>
      <c r="D96" s="1" t="s">
        <v>115</v>
      </c>
      <c r="E96" s="1">
        <v>350.41</v>
      </c>
      <c r="F96" s="3">
        <v>45719</v>
      </c>
      <c r="G96" s="1">
        <v>1.5569999999999999</v>
      </c>
      <c r="H96" s="1" t="str">
        <f>("10662671203660")</f>
        <v>10662671203660</v>
      </c>
      <c r="I96" s="1">
        <v>1</v>
      </c>
      <c r="J96" s="1">
        <v>48</v>
      </c>
    </row>
    <row r="97" spans="1:10" x14ac:dyDescent="0.3">
      <c r="A97" s="1" t="s">
        <v>7</v>
      </c>
      <c r="B97" s="1" t="str">
        <f>("662671203984")</f>
        <v>662671203984</v>
      </c>
      <c r="C97" s="1">
        <v>202801</v>
      </c>
      <c r="D97" s="1" t="s">
        <v>116</v>
      </c>
      <c r="E97" s="1">
        <v>9.0500000000000007</v>
      </c>
      <c r="F97" s="3">
        <v>45719</v>
      </c>
      <c r="G97" s="1">
        <v>0.04</v>
      </c>
      <c r="H97" s="1" t="str">
        <f>("00662671203984")</f>
        <v>00662671203984</v>
      </c>
      <c r="I97" s="1">
        <v>1</v>
      </c>
    </row>
    <row r="98" spans="1:10" x14ac:dyDescent="0.3">
      <c r="A98" s="1" t="s">
        <v>7</v>
      </c>
      <c r="B98" s="1" t="str">
        <f>("662671201065")</f>
        <v>662671201065</v>
      </c>
      <c r="C98" s="1" t="s">
        <v>117</v>
      </c>
      <c r="D98" s="1" t="s">
        <v>118</v>
      </c>
      <c r="E98" s="1">
        <v>21.06</v>
      </c>
      <c r="F98" s="3">
        <v>45719</v>
      </c>
      <c r="G98" s="1">
        <v>5.6000000000000001E-2</v>
      </c>
      <c r="H98" s="1" t="str">
        <f>("10662671201062")</f>
        <v>10662671201062</v>
      </c>
      <c r="I98" s="1">
        <v>100</v>
      </c>
      <c r="J98" s="1">
        <v>7200</v>
      </c>
    </row>
    <row r="99" spans="1:10" x14ac:dyDescent="0.3">
      <c r="A99" s="1" t="s">
        <v>7</v>
      </c>
      <c r="B99" s="1" t="str">
        <f>("662671201096")</f>
        <v>662671201096</v>
      </c>
      <c r="C99" s="1">
        <v>202842</v>
      </c>
      <c r="D99" s="1" t="s">
        <v>119</v>
      </c>
      <c r="E99" s="1">
        <v>24.37</v>
      </c>
      <c r="F99" s="3">
        <v>45719</v>
      </c>
      <c r="G99" s="1">
        <v>9.0999999999999998E-2</v>
      </c>
      <c r="H99" s="1" t="str">
        <f>("10662671201093")</f>
        <v>10662671201093</v>
      </c>
      <c r="I99" s="1">
        <v>50</v>
      </c>
      <c r="J99" s="1">
        <v>1600</v>
      </c>
    </row>
    <row r="100" spans="1:10" x14ac:dyDescent="0.3">
      <c r="A100" s="1" t="s">
        <v>7</v>
      </c>
      <c r="B100" s="1" t="str">
        <f>("662671202307")</f>
        <v>662671202307</v>
      </c>
      <c r="C100" s="1">
        <v>202846</v>
      </c>
      <c r="D100" s="1" t="s">
        <v>120</v>
      </c>
      <c r="E100" s="1">
        <v>38.67</v>
      </c>
      <c r="F100" s="3">
        <v>45719</v>
      </c>
      <c r="G100" s="1">
        <v>0.33700000000000002</v>
      </c>
      <c r="H100" s="1" t="str">
        <f>("10662671202304")</f>
        <v>10662671202304</v>
      </c>
      <c r="I100" s="1">
        <v>25</v>
      </c>
      <c r="J100" s="1">
        <v>450</v>
      </c>
    </row>
    <row r="101" spans="1:10" x14ac:dyDescent="0.3">
      <c r="A101" s="1" t="s">
        <v>7</v>
      </c>
      <c r="B101" s="1" t="str">
        <f>("662671201102")</f>
        <v>662671201102</v>
      </c>
      <c r="C101" s="1" t="s">
        <v>121</v>
      </c>
      <c r="D101" s="1" t="s">
        <v>122</v>
      </c>
      <c r="E101" s="1">
        <v>20.010000000000002</v>
      </c>
      <c r="F101" s="3">
        <v>45719</v>
      </c>
      <c r="G101" s="1">
        <v>5.5E-2</v>
      </c>
      <c r="H101" s="1" t="str">
        <f>("10662671201109")</f>
        <v>10662671201109</v>
      </c>
      <c r="I101" s="1">
        <v>100</v>
      </c>
      <c r="J101" s="1">
        <v>7200</v>
      </c>
    </row>
    <row r="102" spans="1:10" x14ac:dyDescent="0.3">
      <c r="A102" s="1" t="s">
        <v>7</v>
      </c>
      <c r="B102" s="1" t="str">
        <f>("662671204035")</f>
        <v>662671204035</v>
      </c>
      <c r="C102" s="1">
        <v>202860</v>
      </c>
      <c r="D102" s="1" t="s">
        <v>123</v>
      </c>
      <c r="E102" s="1">
        <v>15.15</v>
      </c>
      <c r="F102" s="3">
        <v>45719</v>
      </c>
      <c r="G102" s="1">
        <v>0.04</v>
      </c>
      <c r="H102" s="1" t="str">
        <f>("90662671204038")</f>
        <v>90662671204038</v>
      </c>
      <c r="I102" s="1">
        <v>0</v>
      </c>
    </row>
    <row r="103" spans="1:10" x14ac:dyDescent="0.3">
      <c r="A103" s="1" t="s">
        <v>7</v>
      </c>
      <c r="B103" s="1" t="str">
        <f>("662671201119")</f>
        <v>662671201119</v>
      </c>
      <c r="C103" s="1" t="s">
        <v>124</v>
      </c>
      <c r="D103" s="1" t="s">
        <v>125</v>
      </c>
      <c r="E103" s="1">
        <v>20.83</v>
      </c>
      <c r="F103" s="3">
        <v>45719</v>
      </c>
      <c r="G103" s="1">
        <v>5.2999999999999999E-2</v>
      </c>
      <c r="H103" s="1" t="str">
        <f>("10662671201116")</f>
        <v>10662671201116</v>
      </c>
      <c r="I103" s="1">
        <v>100</v>
      </c>
      <c r="J103" s="1">
        <v>7200</v>
      </c>
    </row>
    <row r="104" spans="1:10" x14ac:dyDescent="0.3">
      <c r="A104" s="1" t="s">
        <v>7</v>
      </c>
      <c r="B104" s="1" t="str">
        <f>("662671201126")</f>
        <v>662671201126</v>
      </c>
      <c r="C104" s="1" t="s">
        <v>126</v>
      </c>
      <c r="D104" s="1" t="s">
        <v>127</v>
      </c>
      <c r="E104" s="1">
        <v>38.99</v>
      </c>
      <c r="F104" s="3">
        <v>45719</v>
      </c>
      <c r="G104" s="1">
        <v>8.5999999999999993E-2</v>
      </c>
      <c r="H104" s="1" t="str">
        <f>("10662671201123")</f>
        <v>10662671201123</v>
      </c>
      <c r="I104" s="1">
        <v>80</v>
      </c>
      <c r="J104" s="1">
        <v>5760</v>
      </c>
    </row>
    <row r="105" spans="1:10" x14ac:dyDescent="0.3">
      <c r="A105" s="1" t="s">
        <v>7</v>
      </c>
      <c r="B105" s="1" t="str">
        <f>("662671201133")</f>
        <v>662671201133</v>
      </c>
      <c r="C105" s="1" t="s">
        <v>128</v>
      </c>
      <c r="D105" s="1" t="s">
        <v>129</v>
      </c>
      <c r="E105" s="1">
        <v>40.93</v>
      </c>
      <c r="F105" s="3">
        <v>45719</v>
      </c>
      <c r="G105" s="1">
        <v>8.3000000000000004E-2</v>
      </c>
      <c r="H105" s="1" t="str">
        <f>("10662671201130")</f>
        <v>10662671201130</v>
      </c>
      <c r="I105" s="1">
        <v>80</v>
      </c>
      <c r="J105" s="1">
        <v>5760</v>
      </c>
    </row>
    <row r="106" spans="1:10" x14ac:dyDescent="0.3">
      <c r="A106" s="1" t="s">
        <v>7</v>
      </c>
      <c r="B106" s="1" t="str">
        <f>("662671201157")</f>
        <v>662671201157</v>
      </c>
      <c r="C106" s="1">
        <v>202871</v>
      </c>
      <c r="D106" s="1" t="s">
        <v>130</v>
      </c>
      <c r="E106" s="1">
        <v>9.77</v>
      </c>
      <c r="F106" s="3">
        <v>45719</v>
      </c>
      <c r="G106" s="1">
        <v>3.9E-2</v>
      </c>
      <c r="H106" s="1" t="str">
        <f>("10662671201154")</f>
        <v>10662671201154</v>
      </c>
      <c r="I106" s="1">
        <v>125</v>
      </c>
      <c r="J106" s="1">
        <v>9000</v>
      </c>
    </row>
    <row r="107" spans="1:10" x14ac:dyDescent="0.3">
      <c r="A107" s="1" t="s">
        <v>7</v>
      </c>
      <c r="B107" s="1" t="str">
        <f>("662671201164")</f>
        <v>662671201164</v>
      </c>
      <c r="C107" s="1">
        <v>202872</v>
      </c>
      <c r="D107" s="1" t="s">
        <v>131</v>
      </c>
      <c r="E107" s="1">
        <v>21.06</v>
      </c>
      <c r="F107" s="3">
        <v>45719</v>
      </c>
      <c r="G107" s="1">
        <v>4.8000000000000001E-2</v>
      </c>
      <c r="H107" s="1" t="str">
        <f>("10662671201161")</f>
        <v>10662671201161</v>
      </c>
      <c r="I107" s="1">
        <v>80</v>
      </c>
      <c r="J107" s="1">
        <v>5760</v>
      </c>
    </row>
    <row r="108" spans="1:10" x14ac:dyDescent="0.3">
      <c r="A108" s="1" t="s">
        <v>7</v>
      </c>
      <c r="B108" s="1" t="str">
        <f>("662671201171")</f>
        <v>662671201171</v>
      </c>
      <c r="C108" s="1">
        <v>202873</v>
      </c>
      <c r="D108" s="1" t="s">
        <v>132</v>
      </c>
      <c r="E108" s="1">
        <v>40.369999999999997</v>
      </c>
      <c r="F108" s="3">
        <v>45719</v>
      </c>
      <c r="G108" s="1">
        <v>0.17799999999999999</v>
      </c>
      <c r="H108" s="1" t="str">
        <f>("10662671201178")</f>
        <v>10662671201178</v>
      </c>
      <c r="I108" s="1">
        <v>30</v>
      </c>
      <c r="J108" s="1">
        <v>2160</v>
      </c>
    </row>
    <row r="109" spans="1:10" x14ac:dyDescent="0.3">
      <c r="A109" s="1" t="s">
        <v>7</v>
      </c>
      <c r="B109" s="1" t="str">
        <f>("662671201188")</f>
        <v>662671201188</v>
      </c>
      <c r="C109" s="1">
        <v>202874</v>
      </c>
      <c r="D109" s="1" t="s">
        <v>133</v>
      </c>
      <c r="E109" s="1">
        <v>107.23</v>
      </c>
      <c r="F109" s="3">
        <v>45719</v>
      </c>
      <c r="G109" s="1">
        <v>0.26200000000000001</v>
      </c>
      <c r="H109" s="1" t="str">
        <f>("10662671201185")</f>
        <v>10662671201185</v>
      </c>
      <c r="I109" s="1">
        <v>15</v>
      </c>
      <c r="J109" s="1">
        <v>1080</v>
      </c>
    </row>
    <row r="110" spans="1:10" x14ac:dyDescent="0.3">
      <c r="A110" s="1" t="s">
        <v>7</v>
      </c>
      <c r="B110" s="1" t="str">
        <f>("662671201195")</f>
        <v>662671201195</v>
      </c>
      <c r="C110" s="1">
        <v>202891</v>
      </c>
      <c r="D110" s="1" t="s">
        <v>134</v>
      </c>
      <c r="E110" s="1">
        <v>11.91</v>
      </c>
      <c r="F110" s="3">
        <v>45719</v>
      </c>
      <c r="G110" s="1">
        <v>5.0999999999999997E-2</v>
      </c>
      <c r="H110" s="1" t="str">
        <f>("10662671201192")</f>
        <v>10662671201192</v>
      </c>
      <c r="I110" s="1">
        <v>100</v>
      </c>
      <c r="J110" s="1">
        <v>7200</v>
      </c>
    </row>
    <row r="111" spans="1:10" x14ac:dyDescent="0.3">
      <c r="A111" s="1" t="s">
        <v>7</v>
      </c>
      <c r="B111" s="1" t="str">
        <f>("662671201201")</f>
        <v>662671201201</v>
      </c>
      <c r="C111" s="1">
        <v>202892</v>
      </c>
      <c r="D111" s="1" t="s">
        <v>135</v>
      </c>
      <c r="E111" s="1">
        <v>21.06</v>
      </c>
      <c r="F111" s="3">
        <v>45719</v>
      </c>
      <c r="G111" s="1">
        <v>6.9000000000000006E-2</v>
      </c>
      <c r="H111" s="1" t="str">
        <f>("10662671201208")</f>
        <v>10662671201208</v>
      </c>
      <c r="I111" s="1">
        <v>75</v>
      </c>
      <c r="J111" s="1">
        <v>5400</v>
      </c>
    </row>
    <row r="112" spans="1:10" x14ac:dyDescent="0.3">
      <c r="A112" s="1" t="s">
        <v>7</v>
      </c>
      <c r="B112" s="1" t="str">
        <f>("662671201225")</f>
        <v>662671201225</v>
      </c>
      <c r="C112" s="1">
        <v>202893</v>
      </c>
      <c r="D112" s="1" t="s">
        <v>136</v>
      </c>
      <c r="E112" s="1">
        <v>41.78</v>
      </c>
      <c r="F112" s="3">
        <v>45719</v>
      </c>
      <c r="G112" s="1">
        <v>0.22</v>
      </c>
      <c r="H112" s="1" t="str">
        <f>("10662671201222")</f>
        <v>10662671201222</v>
      </c>
      <c r="I112" s="1">
        <v>30</v>
      </c>
      <c r="J112" s="1">
        <v>1440</v>
      </c>
    </row>
    <row r="113" spans="1:10" x14ac:dyDescent="0.3">
      <c r="A113" s="1" t="s">
        <v>7</v>
      </c>
      <c r="B113" s="1" t="str">
        <f>("662671201232")</f>
        <v>662671201232</v>
      </c>
      <c r="C113" s="1" t="s">
        <v>137</v>
      </c>
      <c r="D113" s="1" t="s">
        <v>138</v>
      </c>
      <c r="E113" s="1">
        <v>71.760000000000005</v>
      </c>
      <c r="F113" s="3">
        <v>45719</v>
      </c>
      <c r="G113" s="1">
        <v>0.35299999999999998</v>
      </c>
      <c r="H113" s="1" t="str">
        <f>("10662671201239")</f>
        <v>10662671201239</v>
      </c>
      <c r="I113" s="1">
        <v>30</v>
      </c>
      <c r="J113" s="1">
        <v>1440</v>
      </c>
    </row>
    <row r="114" spans="1:10" x14ac:dyDescent="0.3">
      <c r="A114" s="1" t="s">
        <v>7</v>
      </c>
      <c r="B114" s="1" t="str">
        <f>("662671201249")</f>
        <v>662671201249</v>
      </c>
      <c r="C114" s="1">
        <v>202894</v>
      </c>
      <c r="D114" s="1" t="s">
        <v>139</v>
      </c>
      <c r="E114" s="1">
        <v>95.31</v>
      </c>
      <c r="F114" s="3">
        <v>45719</v>
      </c>
      <c r="G114" s="1">
        <v>0.35799999999999998</v>
      </c>
      <c r="H114" s="1" t="str">
        <f>("10662671201246")</f>
        <v>10662671201246</v>
      </c>
      <c r="I114" s="1">
        <v>25</v>
      </c>
      <c r="J114" s="1">
        <v>800</v>
      </c>
    </row>
    <row r="115" spans="1:10" x14ac:dyDescent="0.3">
      <c r="A115" s="1" t="s">
        <v>7</v>
      </c>
      <c r="B115" s="1" t="str">
        <f>("662671201263")</f>
        <v>662671201263</v>
      </c>
      <c r="C115" s="1">
        <v>203001</v>
      </c>
      <c r="D115" s="1" t="s">
        <v>140</v>
      </c>
      <c r="E115" s="1">
        <v>7.31</v>
      </c>
      <c r="F115" s="3">
        <v>45719</v>
      </c>
      <c r="G115" s="1">
        <v>3.5999999999999997E-2</v>
      </c>
      <c r="H115" s="1" t="str">
        <f>("10662671201260")</f>
        <v>10662671201260</v>
      </c>
      <c r="I115" s="1">
        <v>125</v>
      </c>
      <c r="J115" s="1">
        <v>9000</v>
      </c>
    </row>
    <row r="116" spans="1:10" x14ac:dyDescent="0.3">
      <c r="A116" s="1" t="s">
        <v>7</v>
      </c>
      <c r="B116" s="1" t="str">
        <f>("662671201270")</f>
        <v>662671201270</v>
      </c>
      <c r="C116" s="1">
        <v>203002</v>
      </c>
      <c r="D116" s="1" t="s">
        <v>141</v>
      </c>
      <c r="E116" s="1">
        <v>10.83</v>
      </c>
      <c r="F116" s="3">
        <v>45719</v>
      </c>
      <c r="G116" s="1">
        <v>4.7E-2</v>
      </c>
      <c r="H116" s="1" t="str">
        <f>("10662671201277")</f>
        <v>10662671201277</v>
      </c>
      <c r="I116" s="1">
        <v>100</v>
      </c>
      <c r="J116" s="1">
        <v>4800</v>
      </c>
    </row>
    <row r="117" spans="1:10" x14ac:dyDescent="0.3">
      <c r="A117" s="1" t="s">
        <v>7</v>
      </c>
      <c r="B117" s="1" t="str">
        <f>("662671201287")</f>
        <v>662671201287</v>
      </c>
      <c r="C117" s="1">
        <v>203003</v>
      </c>
      <c r="D117" s="1" t="s">
        <v>142</v>
      </c>
      <c r="E117" s="1">
        <v>25.26</v>
      </c>
      <c r="F117" s="3">
        <v>45719</v>
      </c>
      <c r="G117" s="1">
        <v>0.20300000000000001</v>
      </c>
      <c r="H117" s="1" t="str">
        <f>("10662671201284")</f>
        <v>10662671201284</v>
      </c>
      <c r="I117" s="1">
        <v>45</v>
      </c>
      <c r="J117" s="1">
        <v>1440</v>
      </c>
    </row>
    <row r="118" spans="1:10" x14ac:dyDescent="0.3">
      <c r="A118" s="1" t="s">
        <v>7</v>
      </c>
      <c r="B118" s="1" t="str">
        <f>("662671201294")</f>
        <v>662671201294</v>
      </c>
      <c r="C118" s="1">
        <v>203004</v>
      </c>
      <c r="D118" s="1" t="s">
        <v>143</v>
      </c>
      <c r="E118" s="1">
        <v>43.57</v>
      </c>
      <c r="F118" s="3">
        <v>45719</v>
      </c>
      <c r="G118" s="1">
        <v>0.33100000000000002</v>
      </c>
      <c r="H118" s="1" t="str">
        <f>("10662671201291")</f>
        <v>10662671201291</v>
      </c>
      <c r="I118" s="1">
        <v>25</v>
      </c>
      <c r="J118" s="1">
        <v>800</v>
      </c>
    </row>
    <row r="119" spans="1:10" x14ac:dyDescent="0.3">
      <c r="A119" s="1" t="s">
        <v>7</v>
      </c>
      <c r="B119" s="1" t="str">
        <f>("662671201300")</f>
        <v>662671201300</v>
      </c>
      <c r="C119" s="1">
        <v>203006</v>
      </c>
      <c r="D119" s="1" t="s">
        <v>144</v>
      </c>
      <c r="E119" s="1">
        <v>227.99</v>
      </c>
      <c r="F119" s="3">
        <v>45719</v>
      </c>
      <c r="G119" s="1">
        <v>1.0309999999999999</v>
      </c>
      <c r="H119" s="1" t="str">
        <f>("10662671201307")</f>
        <v>10662671201307</v>
      </c>
      <c r="I119" s="1">
        <v>12</v>
      </c>
      <c r="J119" s="1">
        <v>216</v>
      </c>
    </row>
    <row r="120" spans="1:10" x14ac:dyDescent="0.3">
      <c r="A120" s="1" t="s">
        <v>7</v>
      </c>
      <c r="B120" s="1" t="str">
        <f>("662671203694")</f>
        <v>662671203694</v>
      </c>
      <c r="C120" s="1">
        <v>203008</v>
      </c>
      <c r="D120" s="1" t="s">
        <v>145</v>
      </c>
      <c r="E120" s="1">
        <v>330.29</v>
      </c>
      <c r="F120" s="3">
        <v>45719</v>
      </c>
      <c r="G120" s="1">
        <v>1.915</v>
      </c>
      <c r="H120" s="1" t="str">
        <f>("10662671203691")</f>
        <v>10662671203691</v>
      </c>
      <c r="I120" s="1">
        <v>1</v>
      </c>
      <c r="J120" s="1">
        <v>48</v>
      </c>
    </row>
    <row r="121" spans="1:10" x14ac:dyDescent="0.3">
      <c r="A121" s="1" t="s">
        <v>7</v>
      </c>
      <c r="B121" s="1" t="str">
        <f>("662671201317")</f>
        <v>662671201317</v>
      </c>
      <c r="C121" s="1">
        <v>203022</v>
      </c>
      <c r="D121" s="1" t="s">
        <v>146</v>
      </c>
      <c r="E121" s="1">
        <v>16.77</v>
      </c>
      <c r="F121" s="3">
        <v>45719</v>
      </c>
      <c r="G121" s="1">
        <v>5.5E-2</v>
      </c>
      <c r="H121" s="1" t="str">
        <f>("10662671201314")</f>
        <v>10662671201314</v>
      </c>
      <c r="I121" s="1">
        <v>75</v>
      </c>
      <c r="J121" s="1">
        <v>5400</v>
      </c>
    </row>
    <row r="122" spans="1:10" x14ac:dyDescent="0.3">
      <c r="A122" s="1" t="s">
        <v>7</v>
      </c>
      <c r="B122" s="1" t="str">
        <f>("662671201324")</f>
        <v>662671201324</v>
      </c>
      <c r="C122" s="1">
        <v>203023</v>
      </c>
      <c r="D122" s="1" t="s">
        <v>147</v>
      </c>
      <c r="E122" s="1">
        <v>39.29</v>
      </c>
      <c r="F122" s="3">
        <v>45719</v>
      </c>
      <c r="G122" s="1">
        <v>0.17</v>
      </c>
      <c r="H122" s="1" t="str">
        <f>("10662671201321")</f>
        <v>10662671201321</v>
      </c>
      <c r="I122" s="1">
        <v>35</v>
      </c>
      <c r="J122" s="1">
        <v>2520</v>
      </c>
    </row>
    <row r="123" spans="1:10" x14ac:dyDescent="0.3">
      <c r="A123" s="1" t="s">
        <v>7</v>
      </c>
      <c r="B123" s="1" t="str">
        <f>("662671201331")</f>
        <v>662671201331</v>
      </c>
      <c r="C123" s="1">
        <v>203024</v>
      </c>
      <c r="D123" s="1" t="s">
        <v>148</v>
      </c>
      <c r="E123" s="1">
        <v>39.29</v>
      </c>
      <c r="F123" s="3">
        <v>45719</v>
      </c>
      <c r="G123" s="1">
        <v>0.16600000000000001</v>
      </c>
      <c r="H123" s="1" t="str">
        <f>("10662671201338")</f>
        <v>10662671201338</v>
      </c>
      <c r="I123" s="1">
        <v>35</v>
      </c>
      <c r="J123" s="1">
        <v>2520</v>
      </c>
    </row>
    <row r="124" spans="1:10" x14ac:dyDescent="0.3">
      <c r="A124" s="1" t="s">
        <v>7</v>
      </c>
      <c r="B124" s="1" t="str">
        <f>("662671201348")</f>
        <v>662671201348</v>
      </c>
      <c r="C124" s="1">
        <v>203025</v>
      </c>
      <c r="D124" s="1" t="s">
        <v>149</v>
      </c>
      <c r="E124" s="1">
        <v>57.61</v>
      </c>
      <c r="F124" s="3">
        <v>45719</v>
      </c>
      <c r="G124" s="1">
        <v>0.30199999999999999</v>
      </c>
      <c r="H124" s="1" t="str">
        <f>("10662671201345")</f>
        <v>10662671201345</v>
      </c>
      <c r="I124" s="1">
        <v>20</v>
      </c>
      <c r="J124" s="1">
        <v>960</v>
      </c>
    </row>
    <row r="125" spans="1:10" x14ac:dyDescent="0.3">
      <c r="A125" s="1" t="s">
        <v>7</v>
      </c>
      <c r="B125" s="1" t="str">
        <f>("662671201355")</f>
        <v>662671201355</v>
      </c>
      <c r="C125" s="1">
        <v>203026</v>
      </c>
      <c r="D125" s="1" t="s">
        <v>150</v>
      </c>
      <c r="E125" s="1">
        <v>59.32</v>
      </c>
      <c r="F125" s="3">
        <v>45719</v>
      </c>
      <c r="G125" s="1">
        <v>0.35399999999999998</v>
      </c>
      <c r="H125" s="1" t="str">
        <f>("10662671201352")</f>
        <v>10662671201352</v>
      </c>
      <c r="I125" s="1">
        <v>30</v>
      </c>
      <c r="J125" s="1">
        <v>960</v>
      </c>
    </row>
    <row r="126" spans="1:10" x14ac:dyDescent="0.3">
      <c r="A126" s="1" t="s">
        <v>7</v>
      </c>
      <c r="B126" s="1" t="str">
        <f>("662671201379")</f>
        <v>662671201379</v>
      </c>
      <c r="C126" s="1">
        <v>203029</v>
      </c>
      <c r="D126" s="1" t="s">
        <v>151</v>
      </c>
      <c r="E126" s="1">
        <v>57.61</v>
      </c>
      <c r="F126" s="3">
        <v>45719</v>
      </c>
      <c r="G126" s="1">
        <v>0.29899999999999999</v>
      </c>
      <c r="H126" s="1" t="str">
        <f>("10662671201376")</f>
        <v>10662671201376</v>
      </c>
      <c r="I126" s="1">
        <v>20</v>
      </c>
      <c r="J126" s="1">
        <v>960</v>
      </c>
    </row>
    <row r="127" spans="1:10" x14ac:dyDescent="0.3">
      <c r="A127" s="1" t="s">
        <v>7</v>
      </c>
      <c r="B127" s="1" t="str">
        <f>("662671203786")</f>
        <v>662671203786</v>
      </c>
      <c r="C127" s="1">
        <v>203037</v>
      </c>
      <c r="D127" s="1" t="s">
        <v>152</v>
      </c>
      <c r="E127" s="1">
        <v>417.14</v>
      </c>
      <c r="F127" s="3">
        <v>45719</v>
      </c>
      <c r="G127" s="1">
        <v>0.84299999999999997</v>
      </c>
      <c r="H127" s="1" t="str">
        <f>("30662671203787")</f>
        <v>30662671203787</v>
      </c>
      <c r="I127" s="1">
        <v>12</v>
      </c>
      <c r="J127" s="1">
        <v>288</v>
      </c>
    </row>
    <row r="128" spans="1:10" x14ac:dyDescent="0.3">
      <c r="A128" s="1" t="s">
        <v>7</v>
      </c>
      <c r="B128" s="1" t="str">
        <f>("662671201416")</f>
        <v>662671201416</v>
      </c>
      <c r="C128" s="1">
        <v>203052</v>
      </c>
      <c r="D128" s="1" t="s">
        <v>153</v>
      </c>
      <c r="E128" s="1">
        <v>15.67</v>
      </c>
      <c r="F128" s="3">
        <v>45719</v>
      </c>
      <c r="G128" s="1">
        <v>4.9000000000000002E-2</v>
      </c>
      <c r="H128" s="1" t="str">
        <f>("10662671201413")</f>
        <v>10662671201413</v>
      </c>
      <c r="I128" s="1">
        <v>150</v>
      </c>
      <c r="J128" s="1">
        <v>10800</v>
      </c>
    </row>
    <row r="129" spans="1:10" x14ac:dyDescent="0.3">
      <c r="A129" s="1" t="s">
        <v>7</v>
      </c>
      <c r="B129" s="1" t="str">
        <f>("662671201423")</f>
        <v>662671201423</v>
      </c>
      <c r="C129" s="1">
        <v>203053</v>
      </c>
      <c r="D129" s="1" t="s">
        <v>154</v>
      </c>
      <c r="E129" s="1">
        <v>22.78</v>
      </c>
      <c r="F129" s="3">
        <v>45719</v>
      </c>
      <c r="G129" s="1">
        <v>0.11700000000000001</v>
      </c>
      <c r="H129" s="1" t="str">
        <f>("10662671201420")</f>
        <v>10662671201420</v>
      </c>
      <c r="I129" s="1">
        <v>35</v>
      </c>
      <c r="J129" s="1">
        <v>2520</v>
      </c>
    </row>
    <row r="130" spans="1:10" x14ac:dyDescent="0.3">
      <c r="A130" s="1" t="s">
        <v>7</v>
      </c>
      <c r="B130" s="1" t="str">
        <f>("662671201430")</f>
        <v>662671201430</v>
      </c>
      <c r="C130" s="1">
        <v>203054</v>
      </c>
      <c r="D130" s="1" t="s">
        <v>155</v>
      </c>
      <c r="E130" s="1">
        <v>44.39</v>
      </c>
      <c r="F130" s="3">
        <v>45719</v>
      </c>
      <c r="G130" s="1">
        <v>0.19800000000000001</v>
      </c>
      <c r="H130" s="1" t="str">
        <f>("10662671201437")</f>
        <v>10662671201437</v>
      </c>
      <c r="I130" s="1">
        <v>25</v>
      </c>
      <c r="J130" s="1">
        <v>1800</v>
      </c>
    </row>
    <row r="131" spans="1:10" x14ac:dyDescent="0.3">
      <c r="A131" s="1" t="s">
        <v>7</v>
      </c>
      <c r="B131" s="1" t="str">
        <f>("662671201454")</f>
        <v>662671201454</v>
      </c>
      <c r="C131" s="1">
        <v>203081</v>
      </c>
      <c r="D131" s="1" t="s">
        <v>156</v>
      </c>
      <c r="E131" s="1">
        <v>22.45</v>
      </c>
      <c r="F131" s="3">
        <v>45719</v>
      </c>
      <c r="G131" s="1">
        <v>0.03</v>
      </c>
      <c r="H131" s="1" t="str">
        <f>("10662671201451")</f>
        <v>10662671201451</v>
      </c>
      <c r="I131" s="1">
        <v>100</v>
      </c>
      <c r="J131" s="1">
        <v>14400</v>
      </c>
    </row>
    <row r="132" spans="1:10" x14ac:dyDescent="0.3">
      <c r="A132" s="1" t="s">
        <v>7</v>
      </c>
      <c r="B132" s="1" t="str">
        <f>("662671201461")</f>
        <v>662671201461</v>
      </c>
      <c r="C132" s="1">
        <v>203082</v>
      </c>
      <c r="D132" s="1" t="s">
        <v>157</v>
      </c>
      <c r="E132" s="1">
        <v>37.450000000000003</v>
      </c>
      <c r="F132" s="3">
        <v>45719</v>
      </c>
      <c r="G132" s="1">
        <v>4.3999999999999997E-2</v>
      </c>
      <c r="H132" s="1" t="str">
        <f>("10662671201468")</f>
        <v>10662671201468</v>
      </c>
      <c r="I132" s="1">
        <v>110</v>
      </c>
      <c r="J132" s="1">
        <v>7920</v>
      </c>
    </row>
    <row r="133" spans="1:10" x14ac:dyDescent="0.3">
      <c r="A133" s="1" t="s">
        <v>7</v>
      </c>
      <c r="B133" s="1" t="str">
        <f>("662671201478")</f>
        <v>662671201478</v>
      </c>
      <c r="C133" s="1">
        <v>203083</v>
      </c>
      <c r="D133" s="1" t="s">
        <v>158</v>
      </c>
      <c r="E133" s="1">
        <v>66.87</v>
      </c>
      <c r="F133" s="3">
        <v>45719</v>
      </c>
      <c r="G133" s="1">
        <v>0.159</v>
      </c>
      <c r="H133" s="1" t="str">
        <f>("10662671201475")</f>
        <v>10662671201475</v>
      </c>
      <c r="I133" s="1">
        <v>30</v>
      </c>
      <c r="J133" s="1">
        <v>2160</v>
      </c>
    </row>
    <row r="134" spans="1:10" x14ac:dyDescent="0.3">
      <c r="A134" s="1" t="s">
        <v>7</v>
      </c>
      <c r="B134" s="1" t="str">
        <f>("662671201485")</f>
        <v>662671201485</v>
      </c>
      <c r="C134" s="1">
        <v>203084</v>
      </c>
      <c r="D134" s="1" t="s">
        <v>159</v>
      </c>
      <c r="E134" s="1">
        <v>70.14</v>
      </c>
      <c r="F134" s="3">
        <v>45719</v>
      </c>
      <c r="G134" s="1">
        <v>0.29199999999999998</v>
      </c>
      <c r="H134" s="1" t="str">
        <f>("10662671201482")</f>
        <v>10662671201482</v>
      </c>
      <c r="I134" s="1">
        <v>25</v>
      </c>
      <c r="J134" s="1">
        <v>1200</v>
      </c>
    </row>
    <row r="135" spans="1:10" x14ac:dyDescent="0.3">
      <c r="A135" s="1" t="s">
        <v>7</v>
      </c>
      <c r="B135" s="1" t="str">
        <f>("662671202369")</f>
        <v>662671202369</v>
      </c>
      <c r="C135" s="1">
        <v>203086</v>
      </c>
      <c r="D135" s="1" t="s">
        <v>160</v>
      </c>
      <c r="E135" s="1">
        <v>231.53</v>
      </c>
      <c r="F135" s="3">
        <v>45719</v>
      </c>
      <c r="G135" s="1">
        <v>0.749</v>
      </c>
      <c r="H135" s="1" t="str">
        <f>("10662671202366")</f>
        <v>10662671202366</v>
      </c>
      <c r="I135" s="1">
        <v>12</v>
      </c>
      <c r="J135" s="1">
        <v>384</v>
      </c>
    </row>
    <row r="136" spans="1:10" x14ac:dyDescent="0.3">
      <c r="A136" s="1" t="s">
        <v>7</v>
      </c>
      <c r="B136" s="1" t="str">
        <f>("662671203762")</f>
        <v>662671203762</v>
      </c>
      <c r="C136" s="1">
        <v>203088</v>
      </c>
      <c r="D136" s="1" t="s">
        <v>161</v>
      </c>
      <c r="E136" s="1">
        <v>374.74</v>
      </c>
      <c r="F136" s="3">
        <v>45719</v>
      </c>
      <c r="G136" s="1">
        <v>1.5069999999999999</v>
      </c>
      <c r="H136" s="1" t="str">
        <f>("10662671203769")</f>
        <v>10662671203769</v>
      </c>
      <c r="I136" s="1">
        <v>1</v>
      </c>
    </row>
    <row r="137" spans="1:10" x14ac:dyDescent="0.3">
      <c r="A137" s="1" t="s">
        <v>7</v>
      </c>
      <c r="B137" s="1" t="str">
        <f>("662671201508")</f>
        <v>662671201508</v>
      </c>
      <c r="C137" s="1">
        <v>203201</v>
      </c>
      <c r="D137" s="1" t="s">
        <v>162</v>
      </c>
      <c r="E137" s="1">
        <v>36.54</v>
      </c>
      <c r="F137" s="3">
        <v>45719</v>
      </c>
      <c r="G137" s="1">
        <v>0.19400000000000001</v>
      </c>
      <c r="H137" s="1" t="str">
        <f>("10662671201505")</f>
        <v>10662671201505</v>
      </c>
      <c r="I137" s="1">
        <v>40</v>
      </c>
      <c r="J137" s="1">
        <v>1280</v>
      </c>
    </row>
    <row r="138" spans="1:10" x14ac:dyDescent="0.3">
      <c r="A138" s="1" t="s">
        <v>7</v>
      </c>
      <c r="B138" s="1" t="str">
        <f>("662671201515")</f>
        <v>662671201515</v>
      </c>
      <c r="C138" s="1" t="s">
        <v>163</v>
      </c>
      <c r="D138" s="1" t="s">
        <v>164</v>
      </c>
      <c r="E138" s="1">
        <v>42.99</v>
      </c>
      <c r="F138" s="3">
        <v>45719</v>
      </c>
      <c r="G138" s="1">
        <v>0.221</v>
      </c>
      <c r="H138" s="1" t="str">
        <f>("10662671201512")</f>
        <v>10662671201512</v>
      </c>
      <c r="I138" s="1">
        <v>35</v>
      </c>
      <c r="J138" s="1">
        <v>1120</v>
      </c>
    </row>
    <row r="139" spans="1:10" x14ac:dyDescent="0.3">
      <c r="A139" s="1" t="s">
        <v>7</v>
      </c>
      <c r="B139" s="1" t="str">
        <f>("662671201522")</f>
        <v>662671201522</v>
      </c>
      <c r="C139" s="1">
        <v>203202</v>
      </c>
      <c r="D139" s="1" t="s">
        <v>165</v>
      </c>
      <c r="E139" s="1">
        <v>82.31</v>
      </c>
      <c r="F139" s="3">
        <v>45719</v>
      </c>
      <c r="G139" s="1">
        <v>0.39300000000000002</v>
      </c>
      <c r="H139" s="1" t="str">
        <f>("10662671201529")</f>
        <v>10662671201529</v>
      </c>
      <c r="I139" s="1">
        <v>20</v>
      </c>
      <c r="J139" s="1">
        <v>640</v>
      </c>
    </row>
    <row r="140" spans="1:10" x14ac:dyDescent="0.3">
      <c r="A140" s="1" t="s">
        <v>7</v>
      </c>
      <c r="B140" s="1" t="str">
        <f>("662671201997")</f>
        <v>662671201997</v>
      </c>
      <c r="C140" s="1" t="s">
        <v>166</v>
      </c>
      <c r="D140" s="1" t="s">
        <v>167</v>
      </c>
      <c r="E140" s="1">
        <v>112.41</v>
      </c>
      <c r="F140" s="3">
        <v>45719</v>
      </c>
      <c r="G140" s="1">
        <v>0.38800000000000001</v>
      </c>
      <c r="H140" s="1" t="str">
        <f>("10662671201994")</f>
        <v>10662671201994</v>
      </c>
      <c r="I140" s="1">
        <v>20</v>
      </c>
      <c r="J140" s="1">
        <v>640</v>
      </c>
    </row>
    <row r="141" spans="1:10" x14ac:dyDescent="0.3">
      <c r="A141" s="1" t="s">
        <v>7</v>
      </c>
      <c r="B141" s="1" t="str">
        <f>("662671201539")</f>
        <v>662671201539</v>
      </c>
      <c r="C141" s="1">
        <v>203203</v>
      </c>
      <c r="D141" s="1" t="s">
        <v>168</v>
      </c>
      <c r="E141" s="1">
        <v>200.35</v>
      </c>
      <c r="F141" s="3">
        <v>45719</v>
      </c>
      <c r="G141" s="1">
        <v>1.1910000000000001</v>
      </c>
      <c r="H141" s="1" t="str">
        <f>("10662671201536")</f>
        <v>10662671201536</v>
      </c>
      <c r="I141" s="1">
        <v>10</v>
      </c>
      <c r="J141" s="1">
        <v>180</v>
      </c>
    </row>
    <row r="142" spans="1:10" x14ac:dyDescent="0.3">
      <c r="A142" s="1" t="s">
        <v>7</v>
      </c>
      <c r="B142" s="1" t="str">
        <f>("662671201560")</f>
        <v>662671201560</v>
      </c>
      <c r="C142" s="1">
        <v>203204</v>
      </c>
      <c r="D142" s="1" t="s">
        <v>169</v>
      </c>
      <c r="E142" s="1">
        <v>380.12</v>
      </c>
      <c r="F142" s="3">
        <v>45719</v>
      </c>
      <c r="G142" s="1">
        <v>1.514</v>
      </c>
      <c r="H142" s="1" t="str">
        <f>("10662671201567")</f>
        <v>10662671201567</v>
      </c>
      <c r="I142" s="1">
        <v>6</v>
      </c>
      <c r="J142" s="1">
        <v>108</v>
      </c>
    </row>
    <row r="143" spans="1:10" x14ac:dyDescent="0.3">
      <c r="A143" s="1" t="s">
        <v>7</v>
      </c>
      <c r="B143" s="1" t="str">
        <f>("662671202789")</f>
        <v>662671202789</v>
      </c>
      <c r="C143" s="1" t="s">
        <v>170</v>
      </c>
      <c r="D143" s="1" t="s">
        <v>171</v>
      </c>
      <c r="E143" s="1">
        <v>1723.74</v>
      </c>
      <c r="F143" s="3">
        <v>45719</v>
      </c>
      <c r="G143" s="1">
        <v>3.47</v>
      </c>
      <c r="H143" s="1" t="str">
        <f>("10662671202786")</f>
        <v>10662671202786</v>
      </c>
      <c r="I143" s="1">
        <v>2</v>
      </c>
      <c r="J143" s="1">
        <v>48</v>
      </c>
    </row>
    <row r="144" spans="1:10" x14ac:dyDescent="0.3">
      <c r="A144" s="1" t="s">
        <v>7</v>
      </c>
      <c r="B144" s="1" t="str">
        <f>("662671201591")</f>
        <v>662671201591</v>
      </c>
      <c r="C144" s="1" t="s">
        <v>172</v>
      </c>
      <c r="D144" s="1" t="s">
        <v>173</v>
      </c>
      <c r="E144" s="1">
        <v>48.46</v>
      </c>
      <c r="F144" s="3">
        <v>45719</v>
      </c>
      <c r="G144" s="1">
        <v>0.248</v>
      </c>
      <c r="H144" s="1" t="str">
        <f>("10662671201598")</f>
        <v>10662671201598</v>
      </c>
      <c r="I144" s="1">
        <v>35</v>
      </c>
      <c r="J144" s="1">
        <v>1120</v>
      </c>
    </row>
    <row r="145" spans="1:10" x14ac:dyDescent="0.3">
      <c r="A145" s="1" t="s">
        <v>7</v>
      </c>
      <c r="B145" s="1" t="str">
        <f>("662671201607")</f>
        <v>662671201607</v>
      </c>
      <c r="C145" s="1" t="s">
        <v>174</v>
      </c>
      <c r="D145" s="1" t="s">
        <v>175</v>
      </c>
      <c r="E145" s="1">
        <v>41.41</v>
      </c>
      <c r="F145" s="3">
        <v>45719</v>
      </c>
      <c r="G145" s="1">
        <v>0.21199999999999999</v>
      </c>
      <c r="H145" s="1" t="str">
        <f>("10662671201604")</f>
        <v>10662671201604</v>
      </c>
      <c r="I145" s="1">
        <v>40</v>
      </c>
      <c r="J145" s="1">
        <v>1280</v>
      </c>
    </row>
    <row r="146" spans="1:10" x14ac:dyDescent="0.3">
      <c r="A146" s="1" t="s">
        <v>7</v>
      </c>
      <c r="B146" s="1" t="str">
        <f>("662671201621")</f>
        <v>662671201621</v>
      </c>
      <c r="C146" s="1" t="s">
        <v>176</v>
      </c>
      <c r="D146" s="1" t="s">
        <v>177</v>
      </c>
      <c r="E146" s="1">
        <v>21.88</v>
      </c>
      <c r="F146" s="3">
        <v>45719</v>
      </c>
      <c r="G146" s="1">
        <v>5.0999999999999997E-2</v>
      </c>
      <c r="H146" s="1" t="str">
        <f>("10662671201628")</f>
        <v>10662671201628</v>
      </c>
      <c r="I146" s="1">
        <v>100</v>
      </c>
      <c r="J146" s="1">
        <v>7200</v>
      </c>
    </row>
    <row r="147" spans="1:10" x14ac:dyDescent="0.3">
      <c r="A147" s="1" t="s">
        <v>7</v>
      </c>
      <c r="B147" s="1" t="str">
        <f>("662671201638")</f>
        <v>662671201638</v>
      </c>
      <c r="C147" s="1" t="s">
        <v>178</v>
      </c>
      <c r="D147" s="1" t="s">
        <v>179</v>
      </c>
      <c r="E147" s="1">
        <v>94.53</v>
      </c>
      <c r="F147" s="3">
        <v>45719</v>
      </c>
      <c r="G147" s="1">
        <v>0.42199999999999999</v>
      </c>
      <c r="H147" s="1" t="str">
        <f>("10662671201635")</f>
        <v>10662671201635</v>
      </c>
      <c r="I147" s="1">
        <v>20</v>
      </c>
      <c r="J147" s="1">
        <v>640</v>
      </c>
    </row>
    <row r="148" spans="1:10" x14ac:dyDescent="0.3">
      <c r="A148" s="1" t="s">
        <v>7</v>
      </c>
      <c r="B148" s="1" t="str">
        <f>("662671202031")</f>
        <v>662671202031</v>
      </c>
      <c r="C148" s="1">
        <v>203217</v>
      </c>
      <c r="D148" s="1" t="s">
        <v>180</v>
      </c>
      <c r="E148" s="1">
        <v>37.590000000000003</v>
      </c>
      <c r="F148" s="3">
        <v>45719</v>
      </c>
      <c r="G148" s="1">
        <v>4.9000000000000002E-2</v>
      </c>
      <c r="H148" s="1" t="str">
        <f>("10662671202038")</f>
        <v>10662671202038</v>
      </c>
      <c r="I148" s="1">
        <v>100</v>
      </c>
      <c r="J148" s="1">
        <v>7200</v>
      </c>
    </row>
    <row r="149" spans="1:10" x14ac:dyDescent="0.3">
      <c r="A149" s="1" t="s">
        <v>7</v>
      </c>
      <c r="B149" s="1" t="str">
        <f>("662671203731")</f>
        <v>662671203731</v>
      </c>
      <c r="C149" s="1" t="s">
        <v>181</v>
      </c>
      <c r="D149" s="1" t="s">
        <v>182</v>
      </c>
      <c r="E149" s="1">
        <v>53.12</v>
      </c>
      <c r="F149" s="3">
        <v>45719</v>
      </c>
      <c r="G149" s="1">
        <v>0.32800000000000001</v>
      </c>
      <c r="H149" s="1" t="str">
        <f>("10662671203738")</f>
        <v>10662671203738</v>
      </c>
      <c r="I149" s="1">
        <v>35</v>
      </c>
      <c r="J149" s="1">
        <v>1120</v>
      </c>
    </row>
    <row r="150" spans="1:10" x14ac:dyDescent="0.3">
      <c r="A150" s="1" t="s">
        <v>7</v>
      </c>
      <c r="B150" s="1" t="str">
        <f>("662671203748")</f>
        <v>662671203748</v>
      </c>
      <c r="C150" s="1" t="s">
        <v>183</v>
      </c>
      <c r="D150" s="1" t="s">
        <v>184</v>
      </c>
      <c r="E150" s="1">
        <v>45.46</v>
      </c>
      <c r="F150" s="3">
        <v>45719</v>
      </c>
      <c r="G150" s="1">
        <v>0.29499999999999998</v>
      </c>
      <c r="H150" s="1" t="str">
        <f>("10662671203745")</f>
        <v>10662671203745</v>
      </c>
      <c r="I150" s="1">
        <v>35</v>
      </c>
      <c r="J150" s="1">
        <v>1120</v>
      </c>
    </row>
    <row r="151" spans="1:10" x14ac:dyDescent="0.3">
      <c r="A151" s="1" t="s">
        <v>7</v>
      </c>
      <c r="B151" s="1" t="str">
        <f>("662671202048")</f>
        <v>662671202048</v>
      </c>
      <c r="C151" s="1">
        <v>203422</v>
      </c>
      <c r="D151" s="1" t="s">
        <v>185</v>
      </c>
      <c r="E151" s="1">
        <v>54.18</v>
      </c>
      <c r="F151" s="3">
        <v>45719</v>
      </c>
      <c r="G151" s="1">
        <v>8.1000000000000003E-2</v>
      </c>
      <c r="H151" s="1" t="str">
        <f>("10662671202045")</f>
        <v>10662671202045</v>
      </c>
      <c r="I151" s="1">
        <v>50</v>
      </c>
      <c r="J151" s="1">
        <v>3600</v>
      </c>
    </row>
    <row r="152" spans="1:10" x14ac:dyDescent="0.3">
      <c r="A152" s="1" t="s">
        <v>7</v>
      </c>
      <c r="B152" s="1" t="str">
        <f>("662671201652")</f>
        <v>662671201652</v>
      </c>
      <c r="C152" s="1">
        <v>203423</v>
      </c>
      <c r="D152" s="1" t="s">
        <v>186</v>
      </c>
      <c r="E152" s="1">
        <v>61.2</v>
      </c>
      <c r="F152" s="3">
        <v>45719</v>
      </c>
      <c r="G152" s="1">
        <v>0.189</v>
      </c>
      <c r="H152" s="1" t="str">
        <f>("10662671201659")</f>
        <v>10662671201659</v>
      </c>
      <c r="I152" s="1">
        <v>30</v>
      </c>
      <c r="J152" s="1">
        <v>2160</v>
      </c>
    </row>
    <row r="153" spans="1:10" x14ac:dyDescent="0.3">
      <c r="A153" s="1" t="s">
        <v>7</v>
      </c>
      <c r="B153" s="1" t="str">
        <f>("662671201669")</f>
        <v>662671201669</v>
      </c>
      <c r="C153" s="1">
        <v>203424</v>
      </c>
      <c r="D153" s="1" t="s">
        <v>187</v>
      </c>
      <c r="E153" s="1">
        <v>88.2</v>
      </c>
      <c r="F153" s="3">
        <v>45719</v>
      </c>
      <c r="G153" s="1">
        <v>0.28499999999999998</v>
      </c>
      <c r="H153" s="1" t="str">
        <f>("10662671201666")</f>
        <v>10662671201666</v>
      </c>
      <c r="I153" s="1">
        <v>15</v>
      </c>
      <c r="J153" s="1">
        <v>1080</v>
      </c>
    </row>
    <row r="154" spans="1:10" x14ac:dyDescent="0.3">
      <c r="A154" s="1" t="s">
        <v>7</v>
      </c>
      <c r="B154" s="1" t="str">
        <f>("662671201713")</f>
        <v>662671201713</v>
      </c>
      <c r="C154" s="1">
        <v>203624</v>
      </c>
      <c r="D154" s="1" t="s">
        <v>188</v>
      </c>
      <c r="E154" s="1">
        <v>91.65</v>
      </c>
      <c r="F154" s="3">
        <v>45719</v>
      </c>
      <c r="G154" s="1">
        <v>0.33600000000000002</v>
      </c>
      <c r="H154" s="1" t="str">
        <f>("10662671201710")</f>
        <v>10662671201710</v>
      </c>
      <c r="I154" s="1">
        <v>25</v>
      </c>
      <c r="J154" s="1">
        <v>800</v>
      </c>
    </row>
    <row r="155" spans="1:10" x14ac:dyDescent="0.3">
      <c r="A155" s="1" t="s">
        <v>7</v>
      </c>
      <c r="B155" s="1" t="str">
        <f>("662671201720")</f>
        <v>662671201720</v>
      </c>
      <c r="C155" s="1" t="s">
        <v>189</v>
      </c>
      <c r="D155" s="1" t="s">
        <v>190</v>
      </c>
      <c r="E155" s="1">
        <v>99.98</v>
      </c>
      <c r="F155" s="3">
        <v>45719</v>
      </c>
      <c r="G155" s="1">
        <v>0.38900000000000001</v>
      </c>
      <c r="H155" s="1" t="str">
        <f>("10662671201727")</f>
        <v>10662671201727</v>
      </c>
      <c r="I155" s="1">
        <v>25</v>
      </c>
      <c r="J155" s="1">
        <v>800</v>
      </c>
    </row>
    <row r="156" spans="1:10" x14ac:dyDescent="0.3">
      <c r="A156" s="1" t="s">
        <v>7</v>
      </c>
      <c r="B156" s="1" t="str">
        <f>("662671201737")</f>
        <v>662671201737</v>
      </c>
      <c r="C156" s="1">
        <v>203626</v>
      </c>
      <c r="D156" s="1" t="s">
        <v>191</v>
      </c>
      <c r="E156" s="1">
        <v>108.29</v>
      </c>
      <c r="F156" s="3">
        <v>45719</v>
      </c>
      <c r="G156" s="1">
        <v>0.33300000000000002</v>
      </c>
      <c r="H156" s="1" t="str">
        <f>("10662671201734")</f>
        <v>10662671201734</v>
      </c>
      <c r="I156" s="1">
        <v>25</v>
      </c>
      <c r="J156" s="1">
        <v>800</v>
      </c>
    </row>
    <row r="157" spans="1:10" x14ac:dyDescent="0.3">
      <c r="A157" s="1" t="s">
        <v>7</v>
      </c>
      <c r="B157" s="1" t="str">
        <f>("662671203922")</f>
        <v>662671203922</v>
      </c>
      <c r="C157" s="1" t="s">
        <v>192</v>
      </c>
      <c r="D157" s="1" t="s">
        <v>193</v>
      </c>
      <c r="E157" s="1">
        <v>111.78</v>
      </c>
      <c r="F157" s="3">
        <v>45719</v>
      </c>
      <c r="G157" s="1">
        <v>0.35799999999999998</v>
      </c>
      <c r="H157" s="1" t="str">
        <f>("10662671203929")</f>
        <v>10662671203929</v>
      </c>
      <c r="I157" s="1">
        <v>25</v>
      </c>
      <c r="J157" s="1">
        <v>800</v>
      </c>
    </row>
    <row r="158" spans="1:10" x14ac:dyDescent="0.3">
      <c r="A158" s="1" t="s">
        <v>7</v>
      </c>
      <c r="B158" s="1" t="str">
        <f>("662671201744")</f>
        <v>662671201744</v>
      </c>
      <c r="C158" s="1">
        <v>203631</v>
      </c>
      <c r="D158" s="1" t="s">
        <v>194</v>
      </c>
      <c r="E158" s="1">
        <v>71.209999999999994</v>
      </c>
      <c r="F158" s="3">
        <v>45719</v>
      </c>
      <c r="G158" s="1">
        <v>0.34899999999999998</v>
      </c>
      <c r="H158" s="1" t="str">
        <f>("10662671201741")</f>
        <v>10662671201741</v>
      </c>
      <c r="I158" s="1">
        <v>25</v>
      </c>
      <c r="J158" s="1">
        <v>800</v>
      </c>
    </row>
    <row r="159" spans="1:10" x14ac:dyDescent="0.3">
      <c r="A159" s="1" t="s">
        <v>7</v>
      </c>
      <c r="B159" s="1" t="str">
        <f>("662671202079")</f>
        <v>662671202079</v>
      </c>
      <c r="C159" s="1" t="s">
        <v>195</v>
      </c>
      <c r="D159" s="1" t="s">
        <v>196</v>
      </c>
      <c r="E159" s="1">
        <v>76.08</v>
      </c>
      <c r="F159" s="3">
        <v>45719</v>
      </c>
      <c r="G159" s="1">
        <v>0.371</v>
      </c>
      <c r="H159" s="1" t="str">
        <f>("10662671202076")</f>
        <v>10662671202076</v>
      </c>
      <c r="I159" s="1">
        <v>25</v>
      </c>
      <c r="J159" s="1">
        <v>800</v>
      </c>
    </row>
    <row r="160" spans="1:10" x14ac:dyDescent="0.3">
      <c r="A160" s="1" t="s">
        <v>7</v>
      </c>
      <c r="B160" s="1" t="str">
        <f>("662671201751")</f>
        <v>662671201751</v>
      </c>
      <c r="C160" s="1">
        <v>203634</v>
      </c>
      <c r="D160" s="1" t="s">
        <v>197</v>
      </c>
      <c r="E160" s="1">
        <v>57.61</v>
      </c>
      <c r="F160" s="3">
        <v>45719</v>
      </c>
      <c r="G160" s="1">
        <v>0.35899999999999999</v>
      </c>
      <c r="H160" s="1" t="str">
        <f>("10662671201758")</f>
        <v>10662671201758</v>
      </c>
      <c r="I160" s="1">
        <v>25</v>
      </c>
      <c r="J160" s="1">
        <v>800</v>
      </c>
    </row>
    <row r="161" spans="1:10" x14ac:dyDescent="0.3">
      <c r="A161" s="1" t="s">
        <v>7</v>
      </c>
      <c r="B161" s="1" t="str">
        <f>("662671201768")</f>
        <v>662671201768</v>
      </c>
      <c r="C161" s="1" t="s">
        <v>198</v>
      </c>
      <c r="D161" s="1" t="s">
        <v>199</v>
      </c>
      <c r="E161" s="1">
        <v>75.540000000000006</v>
      </c>
      <c r="F161" s="3">
        <v>45719</v>
      </c>
      <c r="G161" s="1">
        <v>0.35799999999999998</v>
      </c>
      <c r="H161" s="1" t="str">
        <f>("10662671201765")</f>
        <v>10662671201765</v>
      </c>
      <c r="I161" s="1">
        <v>25</v>
      </c>
      <c r="J161" s="1">
        <v>800</v>
      </c>
    </row>
    <row r="162" spans="1:10" x14ac:dyDescent="0.3">
      <c r="A162" s="1" t="s">
        <v>7</v>
      </c>
      <c r="B162" s="1" t="str">
        <f>("662671202703")</f>
        <v>662671202703</v>
      </c>
      <c r="C162" s="1" t="s">
        <v>200</v>
      </c>
      <c r="D162" s="1" t="s">
        <v>201</v>
      </c>
      <c r="E162" s="1">
        <v>13.52</v>
      </c>
      <c r="F162" s="3">
        <v>45719</v>
      </c>
      <c r="G162" s="1">
        <v>0.04</v>
      </c>
      <c r="H162" s="1" t="str">
        <f>("10662671202700")</f>
        <v>10662671202700</v>
      </c>
      <c r="I162" s="1">
        <v>100</v>
      </c>
      <c r="J162" s="1">
        <v>7200</v>
      </c>
    </row>
    <row r="163" spans="1:10" x14ac:dyDescent="0.3">
      <c r="A163" s="1" t="s">
        <v>7</v>
      </c>
      <c r="B163" s="1" t="str">
        <f>("662671201775")</f>
        <v>662671201775</v>
      </c>
      <c r="C163" s="1" t="s">
        <v>202</v>
      </c>
      <c r="D163" s="1" t="s">
        <v>203</v>
      </c>
      <c r="E163" s="1">
        <v>26.05</v>
      </c>
      <c r="F163" s="3">
        <v>45719</v>
      </c>
      <c r="G163" s="1">
        <v>0.08</v>
      </c>
      <c r="H163" s="1" t="str">
        <f>("10662671201772")</f>
        <v>10662671201772</v>
      </c>
      <c r="I163" s="1">
        <v>90</v>
      </c>
      <c r="J163" s="1">
        <v>6480</v>
      </c>
    </row>
    <row r="164" spans="1:10" x14ac:dyDescent="0.3">
      <c r="A164" s="1" t="s">
        <v>7</v>
      </c>
      <c r="B164" s="1" t="str">
        <f>("662671202697")</f>
        <v>662671202697</v>
      </c>
      <c r="C164" s="1" t="s">
        <v>204</v>
      </c>
      <c r="D164" s="1" t="s">
        <v>205</v>
      </c>
      <c r="E164" s="1">
        <v>25.45</v>
      </c>
      <c r="F164" s="3">
        <v>45719</v>
      </c>
      <c r="G164" s="1">
        <v>0.05</v>
      </c>
      <c r="H164" s="1" t="str">
        <f>("10662671202694")</f>
        <v>10662671202694</v>
      </c>
      <c r="I164" s="1">
        <v>60</v>
      </c>
      <c r="J164" s="1">
        <v>4320</v>
      </c>
    </row>
    <row r="165" spans="1:10" x14ac:dyDescent="0.3">
      <c r="A165" s="1" t="s">
        <v>7</v>
      </c>
      <c r="B165" s="1" t="str">
        <f>("662671201782")</f>
        <v>662671201782</v>
      </c>
      <c r="C165" s="1" t="s">
        <v>206</v>
      </c>
      <c r="D165" s="1" t="s">
        <v>207</v>
      </c>
      <c r="E165" s="1">
        <v>38.99</v>
      </c>
      <c r="F165" s="3">
        <v>45719</v>
      </c>
      <c r="G165" s="1">
        <v>0.1</v>
      </c>
      <c r="H165" s="1" t="str">
        <f>("10662671201789")</f>
        <v>10662671201789</v>
      </c>
      <c r="I165" s="1">
        <v>60</v>
      </c>
      <c r="J165" s="1">
        <v>4320</v>
      </c>
    </row>
    <row r="166" spans="1:10" x14ac:dyDescent="0.3">
      <c r="A166" s="1" t="s">
        <v>7</v>
      </c>
      <c r="B166" s="1" t="str">
        <f>("662671203960")</f>
        <v>662671203960</v>
      </c>
      <c r="C166" s="1" t="s">
        <v>208</v>
      </c>
      <c r="D166" s="1" t="s">
        <v>209</v>
      </c>
      <c r="E166" s="1">
        <v>40.93</v>
      </c>
      <c r="F166" s="3">
        <v>45719</v>
      </c>
      <c r="G166" s="1">
        <v>0.18</v>
      </c>
      <c r="H166" s="1" t="str">
        <f>("10662671203967")</f>
        <v>10662671203967</v>
      </c>
      <c r="I166" s="1">
        <v>35</v>
      </c>
      <c r="J166" s="1">
        <v>1680</v>
      </c>
    </row>
    <row r="167" spans="1:10" x14ac:dyDescent="0.3">
      <c r="A167" s="1" t="s">
        <v>7</v>
      </c>
      <c r="B167" s="1" t="str">
        <f>("662671201799")</f>
        <v>662671201799</v>
      </c>
      <c r="C167" s="1" t="s">
        <v>210</v>
      </c>
      <c r="D167" s="1" t="s">
        <v>211</v>
      </c>
      <c r="E167" s="1">
        <v>60.98</v>
      </c>
      <c r="F167" s="3">
        <v>45719</v>
      </c>
      <c r="G167" s="1">
        <v>0.31</v>
      </c>
      <c r="H167" s="1" t="str">
        <f>("10662671201796")</f>
        <v>10662671201796</v>
      </c>
      <c r="I167" s="1">
        <v>30</v>
      </c>
      <c r="J167" s="1">
        <v>1440</v>
      </c>
    </row>
    <row r="168" spans="1:10" x14ac:dyDescent="0.3">
      <c r="A168" s="1" t="s">
        <v>7</v>
      </c>
      <c r="B168" s="1" t="str">
        <f>("662671202185")</f>
        <v>662671202185</v>
      </c>
      <c r="C168" s="1" t="s">
        <v>212</v>
      </c>
      <c r="D168" s="1" t="s">
        <v>213</v>
      </c>
      <c r="E168" s="1">
        <v>67.959999999999994</v>
      </c>
      <c r="F168" s="3">
        <v>45719</v>
      </c>
      <c r="G168" s="1">
        <v>0.27500000000000002</v>
      </c>
      <c r="H168" s="1" t="str">
        <f>("10662671202182")</f>
        <v>10662671202182</v>
      </c>
      <c r="I168" s="1">
        <v>25</v>
      </c>
      <c r="J168" s="1">
        <v>800</v>
      </c>
    </row>
    <row r="169" spans="1:10" x14ac:dyDescent="0.3">
      <c r="A169" s="1" t="s">
        <v>7</v>
      </c>
      <c r="B169" s="1" t="str">
        <f>("662671201805")</f>
        <v>662671201805</v>
      </c>
      <c r="C169" s="1" t="s">
        <v>214</v>
      </c>
      <c r="D169" s="1" t="s">
        <v>215</v>
      </c>
      <c r="E169" s="1">
        <v>123.76</v>
      </c>
      <c r="F169" s="3">
        <v>45719</v>
      </c>
      <c r="G169" s="1">
        <v>0.47299999999999998</v>
      </c>
      <c r="H169" s="1" t="str">
        <f>("10662671201802")</f>
        <v>10662671201802</v>
      </c>
      <c r="I169" s="1">
        <v>25</v>
      </c>
      <c r="J169" s="1">
        <v>800</v>
      </c>
    </row>
    <row r="170" spans="1:10" x14ac:dyDescent="0.3">
      <c r="A170" s="1" t="s">
        <v>7</v>
      </c>
      <c r="B170" s="1" t="str">
        <f>("662671203885")</f>
        <v>662671203885</v>
      </c>
      <c r="C170" s="1" t="s">
        <v>216</v>
      </c>
      <c r="D170" s="1" t="s">
        <v>217</v>
      </c>
      <c r="E170" s="1">
        <v>312.95999999999998</v>
      </c>
      <c r="F170" s="3">
        <v>45719</v>
      </c>
      <c r="G170" s="1">
        <v>0.69099999999999995</v>
      </c>
      <c r="H170" s="1" t="str">
        <f>("10662671203882")</f>
        <v>10662671203882</v>
      </c>
      <c r="I170" s="1">
        <v>15</v>
      </c>
      <c r="J170" s="1">
        <v>270</v>
      </c>
    </row>
    <row r="171" spans="1:10" x14ac:dyDescent="0.3">
      <c r="A171" s="1" t="s">
        <v>7</v>
      </c>
      <c r="B171" s="1" t="str">
        <f>("662671201812")</f>
        <v>662671201812</v>
      </c>
      <c r="C171" s="1" t="s">
        <v>218</v>
      </c>
      <c r="D171" s="1" t="s">
        <v>219</v>
      </c>
      <c r="E171" s="1">
        <v>447.74</v>
      </c>
      <c r="F171" s="3">
        <v>45719</v>
      </c>
      <c r="G171" s="1">
        <v>1.0149999999999999</v>
      </c>
      <c r="H171" s="1" t="str">
        <f>("30662671201813")</f>
        <v>30662671201813</v>
      </c>
      <c r="I171" s="1">
        <v>12</v>
      </c>
      <c r="J171" s="1">
        <v>288</v>
      </c>
    </row>
    <row r="172" spans="1:10" x14ac:dyDescent="0.3">
      <c r="A172" s="1" t="s">
        <v>7</v>
      </c>
      <c r="B172" s="1" t="str">
        <f>("662671201867")</f>
        <v>662671201867</v>
      </c>
      <c r="C172" s="1">
        <v>203864</v>
      </c>
      <c r="D172" s="1" t="s">
        <v>220</v>
      </c>
      <c r="E172" s="1">
        <v>55.24</v>
      </c>
      <c r="F172" s="3">
        <v>45719</v>
      </c>
      <c r="G172" s="1">
        <v>0.245</v>
      </c>
      <c r="H172" s="1" t="str">
        <f>("10662671201864")</f>
        <v>10662671201864</v>
      </c>
      <c r="I172" s="1">
        <v>25</v>
      </c>
      <c r="J172" s="1">
        <v>1800</v>
      </c>
    </row>
    <row r="173" spans="1:10" x14ac:dyDescent="0.3">
      <c r="A173" s="1" t="s">
        <v>7</v>
      </c>
      <c r="B173" s="1" t="str">
        <f>("662671203946")</f>
        <v>662671203946</v>
      </c>
      <c r="C173" s="1">
        <v>203931</v>
      </c>
      <c r="D173" s="1" t="s">
        <v>221</v>
      </c>
      <c r="E173" s="1">
        <v>7.01</v>
      </c>
      <c r="F173" s="3">
        <v>45719</v>
      </c>
      <c r="G173" s="1">
        <v>1.4999999999999999E-2</v>
      </c>
      <c r="H173" s="1" t="str">
        <f>("10662671203943")</f>
        <v>10662671203943</v>
      </c>
      <c r="I173" s="1">
        <v>700</v>
      </c>
    </row>
    <row r="174" spans="1:10" x14ac:dyDescent="0.3">
      <c r="A174" s="1" t="s">
        <v>7</v>
      </c>
      <c r="B174" s="1" t="str">
        <f>("662671201874")</f>
        <v>662671201874</v>
      </c>
      <c r="C174" s="1">
        <v>205131</v>
      </c>
      <c r="D174" s="1" t="s">
        <v>222</v>
      </c>
      <c r="E174" s="1">
        <v>67.959999999999994</v>
      </c>
      <c r="F174" s="3">
        <v>45719</v>
      </c>
      <c r="G174" s="1">
        <v>0.315</v>
      </c>
      <c r="H174" s="1" t="str">
        <f>("10662671201871")</f>
        <v>10662671201871</v>
      </c>
      <c r="I174" s="1">
        <v>25</v>
      </c>
      <c r="J174" s="1">
        <v>800</v>
      </c>
    </row>
    <row r="175" spans="1:10" x14ac:dyDescent="0.3">
      <c r="A175" s="1" t="s">
        <v>7</v>
      </c>
      <c r="B175" s="1" t="str">
        <f>("662671201898")</f>
        <v>662671201898</v>
      </c>
      <c r="C175" s="1">
        <v>205303</v>
      </c>
      <c r="D175" s="1" t="s">
        <v>223</v>
      </c>
      <c r="E175" s="1">
        <v>156.47999999999999</v>
      </c>
      <c r="F175" s="3">
        <v>45719</v>
      </c>
      <c r="G175" s="1">
        <v>0.60399999999999998</v>
      </c>
      <c r="H175" s="1" t="str">
        <f>("10662671201895")</f>
        <v>10662671201895</v>
      </c>
      <c r="I175" s="1">
        <v>20</v>
      </c>
      <c r="J175" s="1">
        <v>360</v>
      </c>
    </row>
    <row r="176" spans="1:10" x14ac:dyDescent="0.3">
      <c r="A176" s="1" t="s">
        <v>7</v>
      </c>
      <c r="B176" s="1" t="str">
        <f>("662671212412")</f>
        <v>662671212412</v>
      </c>
      <c r="C176" s="1" t="s">
        <v>224</v>
      </c>
      <c r="D176" s="1" t="s">
        <v>225</v>
      </c>
      <c r="E176" s="1">
        <v>83.79</v>
      </c>
      <c r="F176" s="3">
        <v>45719</v>
      </c>
      <c r="G176" s="1">
        <v>0.16500000000000001</v>
      </c>
      <c r="H176" s="1" t="str">
        <f>("10662671212419")</f>
        <v>10662671212419</v>
      </c>
      <c r="I176" s="1">
        <v>50</v>
      </c>
      <c r="J176" s="1">
        <v>1600</v>
      </c>
    </row>
    <row r="177" spans="1:10" x14ac:dyDescent="0.3">
      <c r="A177" s="1" t="s">
        <v>7</v>
      </c>
      <c r="B177" s="1" t="str">
        <f>("662671212153")</f>
        <v>662671212153</v>
      </c>
      <c r="C177" s="1" t="s">
        <v>226</v>
      </c>
      <c r="D177" s="1" t="s">
        <v>227</v>
      </c>
      <c r="E177" s="1">
        <v>45.69</v>
      </c>
      <c r="F177" s="3">
        <v>45719</v>
      </c>
      <c r="G177" s="1">
        <v>9.5000000000000001E-2</v>
      </c>
      <c r="H177" s="1" t="str">
        <f>("10662671212150")</f>
        <v>10662671212150</v>
      </c>
      <c r="I177" s="1">
        <v>50</v>
      </c>
      <c r="J177" s="1">
        <v>3600</v>
      </c>
    </row>
    <row r="178" spans="1:10" x14ac:dyDescent="0.3">
      <c r="A178" s="1" t="s">
        <v>7</v>
      </c>
      <c r="B178" s="1" t="str">
        <f>("662671212580")</f>
        <v>662671212580</v>
      </c>
      <c r="C178" s="1" t="s">
        <v>228</v>
      </c>
      <c r="D178" s="1" t="s">
        <v>229</v>
      </c>
      <c r="E178" s="1">
        <v>51.62</v>
      </c>
      <c r="F178" s="3">
        <v>45719</v>
      </c>
      <c r="G178" s="1">
        <v>8.5999999999999993E-2</v>
      </c>
      <c r="H178" s="1" t="str">
        <f>("10662671212587")</f>
        <v>10662671212587</v>
      </c>
      <c r="I178" s="1">
        <v>50</v>
      </c>
      <c r="J178" s="1">
        <v>3600</v>
      </c>
    </row>
    <row r="179" spans="1:10" x14ac:dyDescent="0.3">
      <c r="A179" s="1" t="s">
        <v>7</v>
      </c>
      <c r="B179" s="1" t="str">
        <f>("662671211965")</f>
        <v>662671211965</v>
      </c>
      <c r="C179" s="1">
        <v>212321</v>
      </c>
      <c r="D179" s="1" t="s">
        <v>230</v>
      </c>
      <c r="E179" s="1">
        <v>23.02</v>
      </c>
      <c r="F179" s="3">
        <v>45719</v>
      </c>
      <c r="G179" s="1">
        <v>9.0999999999999998E-2</v>
      </c>
      <c r="H179" s="1" t="str">
        <f>("10662671211962")</f>
        <v>10662671211962</v>
      </c>
      <c r="I179" s="1">
        <v>40</v>
      </c>
      <c r="J179" s="1">
        <v>2880</v>
      </c>
    </row>
    <row r="180" spans="1:10" x14ac:dyDescent="0.3">
      <c r="A180" s="1" t="s">
        <v>7</v>
      </c>
      <c r="B180" s="1" t="str">
        <f>("662671211972")</f>
        <v>662671211972</v>
      </c>
      <c r="C180" s="1">
        <v>213628</v>
      </c>
      <c r="D180" s="1" t="s">
        <v>231</v>
      </c>
      <c r="E180" s="1">
        <v>244.97</v>
      </c>
      <c r="F180" s="3">
        <v>45719</v>
      </c>
      <c r="G180" s="1">
        <v>0.47299999999999998</v>
      </c>
      <c r="H180" s="1" t="str">
        <f>("10662671211979")</f>
        <v>10662671211979</v>
      </c>
      <c r="I180" s="1">
        <v>20</v>
      </c>
      <c r="J180" s="1">
        <v>640</v>
      </c>
    </row>
    <row r="181" spans="1:10" x14ac:dyDescent="0.3">
      <c r="A181" s="1" t="s">
        <v>7</v>
      </c>
      <c r="B181" s="1" t="str">
        <f>("662671212870")</f>
        <v>662671212870</v>
      </c>
      <c r="C181" s="1">
        <v>213660</v>
      </c>
      <c r="D181" s="1" t="s">
        <v>232</v>
      </c>
      <c r="E181" s="1">
        <v>216.72</v>
      </c>
      <c r="F181" s="3">
        <v>45719</v>
      </c>
      <c r="G181" s="1">
        <v>0.189</v>
      </c>
      <c r="H181" s="1" t="str">
        <f>("10662671212877")</f>
        <v>10662671212877</v>
      </c>
      <c r="I181" s="1">
        <v>25</v>
      </c>
      <c r="J181" s="1">
        <v>1200</v>
      </c>
    </row>
    <row r="182" spans="1:10" x14ac:dyDescent="0.3">
      <c r="A182" s="1" t="s">
        <v>7</v>
      </c>
      <c r="B182" s="1" t="str">
        <f>("662671212887")</f>
        <v>662671212887</v>
      </c>
      <c r="C182" s="1">
        <v>213661</v>
      </c>
      <c r="D182" s="1" t="s">
        <v>233</v>
      </c>
      <c r="E182" s="1">
        <v>247.94</v>
      </c>
      <c r="F182" s="3">
        <v>45719</v>
      </c>
      <c r="G182" s="1">
        <v>0.189</v>
      </c>
      <c r="H182" s="1" t="str">
        <f>("10662671212884")</f>
        <v>10662671212884</v>
      </c>
      <c r="I182" s="1">
        <v>20</v>
      </c>
      <c r="J182" s="1">
        <v>1440</v>
      </c>
    </row>
    <row r="183" spans="1:10" x14ac:dyDescent="0.3">
      <c r="A183" s="1" t="s">
        <v>7</v>
      </c>
      <c r="B183" s="1" t="str">
        <f>("662671213785")</f>
        <v>662671213785</v>
      </c>
      <c r="C183" s="1">
        <v>213662</v>
      </c>
      <c r="D183" s="1" t="s">
        <v>234</v>
      </c>
      <c r="E183" s="1">
        <v>216.72</v>
      </c>
      <c r="F183" s="3">
        <v>45719</v>
      </c>
      <c r="G183" s="1">
        <v>0.151</v>
      </c>
      <c r="H183" s="1" t="str">
        <f>("10662671213782")</f>
        <v>10662671213782</v>
      </c>
      <c r="I183" s="1">
        <v>25</v>
      </c>
      <c r="J183" s="1">
        <v>1800</v>
      </c>
    </row>
    <row r="184" spans="1:10" x14ac:dyDescent="0.3">
      <c r="A184" s="1" t="s">
        <v>7</v>
      </c>
      <c r="B184" s="1" t="str">
        <f>("662671213808")</f>
        <v>662671213808</v>
      </c>
      <c r="C184" s="1">
        <v>213663</v>
      </c>
      <c r="D184" s="1" t="s">
        <v>235</v>
      </c>
      <c r="E184" s="1">
        <v>247.94</v>
      </c>
      <c r="F184" s="3">
        <v>45719</v>
      </c>
      <c r="G184" s="1">
        <v>0.16300000000000001</v>
      </c>
      <c r="H184" s="1" t="str">
        <f>("10662671213805")</f>
        <v>10662671213805</v>
      </c>
      <c r="I184" s="1">
        <v>20</v>
      </c>
      <c r="J184" s="1">
        <v>1440</v>
      </c>
    </row>
    <row r="185" spans="1:10" x14ac:dyDescent="0.3">
      <c r="A185" s="1" t="s">
        <v>7</v>
      </c>
      <c r="B185" s="1" t="str">
        <f>("662671212481")</f>
        <v>662671212481</v>
      </c>
      <c r="C185" s="1" t="s">
        <v>236</v>
      </c>
      <c r="D185" s="1" t="s">
        <v>237</v>
      </c>
      <c r="E185" s="1">
        <v>38.67</v>
      </c>
      <c r="F185" s="3">
        <v>45719</v>
      </c>
      <c r="G185" s="1">
        <v>0.13800000000000001</v>
      </c>
      <c r="H185" s="1" t="str">
        <f>("10662671212488")</f>
        <v>10662671212488</v>
      </c>
      <c r="I185" s="1">
        <v>25</v>
      </c>
      <c r="J185" s="1">
        <v>3600</v>
      </c>
    </row>
    <row r="186" spans="1:10" x14ac:dyDescent="0.3">
      <c r="A186" s="1" t="s">
        <v>7</v>
      </c>
      <c r="B186" s="1" t="str">
        <f>("662671202468")</f>
        <v>662671202468</v>
      </c>
      <c r="C186" s="1" t="s">
        <v>238</v>
      </c>
      <c r="D186" s="1" t="s">
        <v>239</v>
      </c>
      <c r="E186" s="1">
        <v>147.35</v>
      </c>
      <c r="F186" s="3">
        <v>45719</v>
      </c>
      <c r="G186" s="1">
        <v>0.30599999999999999</v>
      </c>
      <c r="H186" s="1" t="str">
        <f>("30662671202469")</f>
        <v>30662671202469</v>
      </c>
      <c r="I186" s="1">
        <v>12</v>
      </c>
      <c r="J186" s="1">
        <v>1728</v>
      </c>
    </row>
    <row r="187" spans="1:10" x14ac:dyDescent="0.3">
      <c r="A187" s="1" t="s">
        <v>7</v>
      </c>
      <c r="B187" s="1" t="str">
        <f>("662671201829")</f>
        <v>662671201829</v>
      </c>
      <c r="C187" s="1" t="s">
        <v>240</v>
      </c>
      <c r="D187" s="1" t="s">
        <v>241</v>
      </c>
      <c r="E187" s="1">
        <v>210.8</v>
      </c>
      <c r="F187" s="3">
        <v>45719</v>
      </c>
      <c r="G187" s="1">
        <v>0.36399999999999999</v>
      </c>
      <c r="H187" s="1" t="str">
        <f>("30662671201820")</f>
        <v>30662671201820</v>
      </c>
      <c r="I187" s="1">
        <v>15</v>
      </c>
      <c r="J187" s="1">
        <v>1080</v>
      </c>
    </row>
    <row r="188" spans="1:10" x14ac:dyDescent="0.3">
      <c r="A188" s="1" t="s">
        <v>7</v>
      </c>
      <c r="B188" s="1" t="str">
        <f>("662671201843")</f>
        <v>662671201843</v>
      </c>
      <c r="C188" s="1" t="s">
        <v>242</v>
      </c>
      <c r="D188" s="1" t="s">
        <v>243</v>
      </c>
      <c r="E188" s="1">
        <v>330.61</v>
      </c>
      <c r="F188" s="3">
        <v>45719</v>
      </c>
      <c r="G188" s="1">
        <v>0.873</v>
      </c>
      <c r="H188" s="1" t="str">
        <f>("30662671201844")</f>
        <v>30662671201844</v>
      </c>
      <c r="I188" s="1">
        <v>15</v>
      </c>
      <c r="J188" s="1">
        <v>480</v>
      </c>
    </row>
    <row r="189" spans="1:10" x14ac:dyDescent="0.3">
      <c r="A189" s="1" t="s">
        <v>7</v>
      </c>
      <c r="B189" s="1" t="str">
        <f>("662671202475")</f>
        <v>662671202475</v>
      </c>
      <c r="C189" s="1" t="s">
        <v>244</v>
      </c>
      <c r="D189" s="1" t="s">
        <v>245</v>
      </c>
      <c r="E189" s="1">
        <v>158.07</v>
      </c>
      <c r="F189" s="3">
        <v>45719</v>
      </c>
      <c r="G189" s="1">
        <v>0.30599999999999999</v>
      </c>
      <c r="H189" s="1" t="str">
        <f>("30662671202476")</f>
        <v>30662671202476</v>
      </c>
      <c r="I189" s="1">
        <v>12</v>
      </c>
      <c r="J189" s="1">
        <v>1728</v>
      </c>
    </row>
    <row r="190" spans="1:10" x14ac:dyDescent="0.3">
      <c r="A190" s="1" t="s">
        <v>7</v>
      </c>
      <c r="B190" s="1" t="str">
        <f>("662671201836")</f>
        <v>662671201836</v>
      </c>
      <c r="C190" s="1" t="s">
        <v>246</v>
      </c>
      <c r="D190" s="1" t="s">
        <v>247</v>
      </c>
      <c r="E190" s="1">
        <v>226.35</v>
      </c>
      <c r="F190" s="3">
        <v>45719</v>
      </c>
      <c r="G190" s="1">
        <v>0.37</v>
      </c>
      <c r="H190" s="1" t="str">
        <f>("30662671201837")</f>
        <v>30662671201837</v>
      </c>
      <c r="I190" s="1">
        <v>15</v>
      </c>
      <c r="J190" s="1">
        <v>1080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CB4FB1E70BB41A42D3ED44FEA3A06" ma:contentTypeVersion="18" ma:contentTypeDescription="Create a new document." ma:contentTypeScope="" ma:versionID="c3eed265bdfcbe9be60f6c8641824715">
  <xsd:schema xmlns:xsd="http://www.w3.org/2001/XMLSchema" xmlns:xs="http://www.w3.org/2001/XMLSchema" xmlns:p="http://schemas.microsoft.com/office/2006/metadata/properties" xmlns:ns3="41ba6191-8548-4a51-a503-7c130ef478ea" xmlns:ns4="76fd90fa-ed7f-49d1-b116-a371fe2e877a" targetNamespace="http://schemas.microsoft.com/office/2006/metadata/properties" ma:root="true" ma:fieldsID="910b00fa4d5dbf55970ea69a933f5a29" ns3:_="" ns4:_="">
    <xsd:import namespace="41ba6191-8548-4a51-a503-7c130ef478ea"/>
    <xsd:import namespace="76fd90fa-ed7f-49d1-b116-a371fe2e87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a6191-8548-4a51-a503-7c130ef47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d90fa-ed7f-49d1-b116-a371fe2e87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1ba6191-8548-4a51-a503-7c130ef478ea" xsi:nil="true"/>
  </documentManagement>
</p:properties>
</file>

<file path=customXml/itemProps1.xml><?xml version="1.0" encoding="utf-8"?>
<ds:datastoreItem xmlns:ds="http://schemas.openxmlformats.org/officeDocument/2006/customXml" ds:itemID="{54ADEE85-1AC4-42DD-ADCE-E4CD03D111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ABBBAB-1DAA-4C33-9650-14FDC6B72F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ba6191-8548-4a51-a503-7c130ef478ea"/>
    <ds:schemaRef ds:uri="76fd90fa-ed7f-49d1-b116-a371fe2e8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D15614-3DE4-452C-ADA6-486371EA36B6}">
  <ds:schemaRefs>
    <ds:schemaRef ds:uri="http://schemas.microsoft.com/office/2006/metadata/properties"/>
    <ds:schemaRef ds:uri="http://purl.org/dc/dcmitype/"/>
    <ds:schemaRef ds:uri="41ba6191-8548-4a51-a503-7c130ef478ea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76fd90fa-ed7f-49d1-b116-a371fe2e877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PVCDWV030325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Stagg, Larry</cp:lastModifiedBy>
  <dcterms:created xsi:type="dcterms:W3CDTF">2025-01-08T15:14:02Z</dcterms:created>
  <dcterms:modified xsi:type="dcterms:W3CDTF">2025-01-28T17:37:24Z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0x01010076BCB4FB1E70BB41A42D3ED44FEA3A06</vt:lpwstr>
  </property>
</Properties>
</file>